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codeName="ThisWorkbook"/>
  <mc:AlternateContent xmlns:mc="http://schemas.openxmlformats.org/markup-compatibility/2006">
    <mc:Choice Requires="x15">
      <x15ac:absPath xmlns:x15ac="http://schemas.microsoft.com/office/spreadsheetml/2010/11/ac" url="C:\Users\Rowan Gaze\Google Drive\FGA Clients\MAV\Large Scale Renewables\3.0 Feasibility Study\3.5 Final Submission\"/>
    </mc:Choice>
  </mc:AlternateContent>
  <workbookProtection workbookAlgorithmName="SHA-512" workbookHashValue="aOxcLKz9QdbdxFtrA9aD/aTojoFJ27CHC4BPMYHwr0AKCy/i3Z19pgnCORinReIbfhxYf+MO760qb/gJytk/6w==" workbookSaltValue="xHK0pv0qNuuoKglB9FwOBg==" workbookSpinCount="100000" lockStructure="1"/>
  <bookViews>
    <workbookView xWindow="0" yWindow="0" windowWidth="28800" windowHeight="12210" activeTab="1" xr2:uid="{00000000-000D-0000-FFFF-FFFF00000000}"/>
  </bookViews>
  <sheets>
    <sheet name="Model Notes" sheetId="14" r:id="rId1"/>
    <sheet name="Summary Sheet" sheetId="11" r:id="rId2"/>
    <sheet name="Working" sheetId="9" state="hidden" r:id="rId3"/>
    <sheet name="Sheet1" sheetId="12" state="hidden" r:id="rId4"/>
  </sheets>
  <definedNames>
    <definedName name="councils">Working!$C$1:$C$3</definedName>
    <definedName name="FeedInTariff">#REF!</definedName>
    <definedName name="location">Working!$B$1:$B$4</definedName>
    <definedName name="PPA_LeaseTerm">#REF!</definedName>
    <definedName name="yesno">Working!$A$1:$A$2</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2" l="1"/>
  <c r="AA48" i="9" l="1"/>
  <c r="AA49" i="9"/>
  <c r="AA50" i="9"/>
  <c r="AA51" i="9"/>
  <c r="AA52" i="9"/>
  <c r="AA53" i="9"/>
  <c r="AA54" i="9"/>
  <c r="AA55" i="9"/>
  <c r="AA56" i="9"/>
  <c r="AA57" i="9"/>
  <c r="AA58" i="9"/>
  <c r="AA47" i="9"/>
  <c r="S66" i="9"/>
  <c r="T66" i="9"/>
  <c r="U66" i="9"/>
  <c r="V66" i="9"/>
  <c r="W66" i="9"/>
  <c r="X66" i="9"/>
  <c r="S67" i="9"/>
  <c r="T67" i="9"/>
  <c r="U67" i="9"/>
  <c r="V67" i="9"/>
  <c r="W67" i="9"/>
  <c r="X67" i="9"/>
  <c r="S68" i="9"/>
  <c r="T68" i="9"/>
  <c r="U68" i="9"/>
  <c r="V68" i="9"/>
  <c r="W68" i="9"/>
  <c r="X68" i="9"/>
  <c r="S69" i="9"/>
  <c r="T69" i="9"/>
  <c r="U69" i="9"/>
  <c r="V69" i="9"/>
  <c r="W69" i="9"/>
  <c r="X69" i="9"/>
  <c r="S70" i="9"/>
  <c r="T70" i="9"/>
  <c r="U70" i="9"/>
  <c r="V70" i="9"/>
  <c r="W70" i="9"/>
  <c r="X70" i="9"/>
  <c r="S71" i="9"/>
  <c r="T71" i="9"/>
  <c r="U71" i="9"/>
  <c r="V71" i="9"/>
  <c r="W71" i="9"/>
  <c r="X71" i="9"/>
  <c r="S72" i="9"/>
  <c r="T72" i="9"/>
  <c r="U72" i="9"/>
  <c r="V72" i="9"/>
  <c r="W72" i="9"/>
  <c r="X72" i="9"/>
  <c r="S73" i="9"/>
  <c r="T73" i="9"/>
  <c r="U73" i="9"/>
  <c r="V73" i="9"/>
  <c r="W73" i="9"/>
  <c r="X73" i="9"/>
  <c r="S74" i="9"/>
  <c r="T74" i="9"/>
  <c r="U74" i="9"/>
  <c r="V74" i="9"/>
  <c r="W74" i="9"/>
  <c r="X74" i="9"/>
  <c r="S75" i="9"/>
  <c r="T75" i="9"/>
  <c r="U75" i="9"/>
  <c r="V75" i="9"/>
  <c r="W75" i="9"/>
  <c r="X75" i="9"/>
  <c r="S76" i="9"/>
  <c r="T76" i="9"/>
  <c r="U76" i="9"/>
  <c r="V76" i="9"/>
  <c r="W76" i="9"/>
  <c r="X76" i="9"/>
  <c r="S65" i="9"/>
  <c r="T65" i="9"/>
  <c r="U65" i="9"/>
  <c r="V65" i="9"/>
  <c r="W65" i="9"/>
  <c r="X65" i="9"/>
  <c r="R66" i="9"/>
  <c r="R67" i="9"/>
  <c r="R68" i="9"/>
  <c r="R69" i="9"/>
  <c r="R70" i="9"/>
  <c r="R71" i="9"/>
  <c r="R72" i="9"/>
  <c r="R73" i="9"/>
  <c r="R74" i="9"/>
  <c r="R75" i="9"/>
  <c r="R76" i="9"/>
  <c r="R65" i="9"/>
  <c r="B24" i="11"/>
  <c r="B23" i="11"/>
  <c r="I6" i="11" l="1"/>
  <c r="H1" i="9" l="1"/>
  <c r="U32" i="11" l="1"/>
  <c r="Q66" i="9" l="1"/>
  <c r="Q67" i="9"/>
  <c r="Q68" i="9"/>
  <c r="Q69" i="9"/>
  <c r="Q70" i="9"/>
  <c r="Q71" i="9"/>
  <c r="Q72" i="9"/>
  <c r="Q73" i="9"/>
  <c r="Q74" i="9"/>
  <c r="Q75" i="9"/>
  <c r="Q76" i="9"/>
  <c r="Q65" i="9"/>
  <c r="A5" i="11" l="1"/>
  <c r="H81" i="9" l="1"/>
  <c r="I81" i="9"/>
  <c r="J81" i="9"/>
  <c r="K81" i="9"/>
  <c r="L81" i="9"/>
  <c r="M81" i="9"/>
  <c r="N81" i="9"/>
  <c r="O81" i="9"/>
  <c r="P81" i="9"/>
  <c r="Q81" i="9"/>
  <c r="R81" i="9"/>
  <c r="S81" i="9"/>
  <c r="T81" i="9"/>
  <c r="U81" i="9"/>
  <c r="V81" i="9"/>
  <c r="W81" i="9"/>
  <c r="X81" i="9"/>
  <c r="Y81" i="9"/>
  <c r="Z81" i="9"/>
  <c r="AA81" i="9"/>
  <c r="AB81" i="9"/>
  <c r="AC81" i="9"/>
  <c r="AD81" i="9"/>
  <c r="AE81" i="9"/>
  <c r="H82" i="9"/>
  <c r="I82" i="9"/>
  <c r="J82" i="9"/>
  <c r="K82" i="9"/>
  <c r="L82" i="9"/>
  <c r="M82" i="9"/>
  <c r="N82" i="9"/>
  <c r="O82" i="9"/>
  <c r="P82" i="9"/>
  <c r="Q82" i="9"/>
  <c r="R82" i="9"/>
  <c r="S82" i="9"/>
  <c r="T82" i="9"/>
  <c r="U82" i="9"/>
  <c r="V82" i="9"/>
  <c r="W82" i="9"/>
  <c r="X82" i="9"/>
  <c r="Y82" i="9"/>
  <c r="Z82" i="9"/>
  <c r="AA82" i="9"/>
  <c r="AB82" i="9"/>
  <c r="AC82" i="9"/>
  <c r="AD82" i="9"/>
  <c r="AE82" i="9"/>
  <c r="H83" i="9"/>
  <c r="I83" i="9"/>
  <c r="J83" i="9"/>
  <c r="K83" i="9"/>
  <c r="L83" i="9"/>
  <c r="M83" i="9"/>
  <c r="N83" i="9"/>
  <c r="O83" i="9"/>
  <c r="P83" i="9"/>
  <c r="Q83" i="9"/>
  <c r="R83" i="9"/>
  <c r="S83" i="9"/>
  <c r="T83" i="9"/>
  <c r="U83" i="9"/>
  <c r="V83" i="9"/>
  <c r="W83" i="9"/>
  <c r="X83" i="9"/>
  <c r="Y83" i="9"/>
  <c r="Z83" i="9"/>
  <c r="AA83" i="9"/>
  <c r="AB83" i="9"/>
  <c r="AC83" i="9"/>
  <c r="AD83" i="9"/>
  <c r="AE83" i="9"/>
  <c r="H84" i="9"/>
  <c r="I84" i="9"/>
  <c r="J84" i="9"/>
  <c r="K84" i="9"/>
  <c r="L84" i="9"/>
  <c r="M84" i="9"/>
  <c r="N84" i="9"/>
  <c r="O84" i="9"/>
  <c r="P84" i="9"/>
  <c r="Q84" i="9"/>
  <c r="R84" i="9"/>
  <c r="S84" i="9"/>
  <c r="T84" i="9"/>
  <c r="U84" i="9"/>
  <c r="V84" i="9"/>
  <c r="W84" i="9"/>
  <c r="X84" i="9"/>
  <c r="Y84" i="9"/>
  <c r="Z84" i="9"/>
  <c r="AA84" i="9"/>
  <c r="AB84" i="9"/>
  <c r="AC84" i="9"/>
  <c r="AD84" i="9"/>
  <c r="AE84" i="9"/>
  <c r="H85" i="9"/>
  <c r="I85" i="9"/>
  <c r="J85" i="9"/>
  <c r="K85" i="9"/>
  <c r="L85" i="9"/>
  <c r="M85" i="9"/>
  <c r="N85" i="9"/>
  <c r="O85" i="9"/>
  <c r="P85" i="9"/>
  <c r="Q85" i="9"/>
  <c r="R85" i="9"/>
  <c r="S85" i="9"/>
  <c r="T85" i="9"/>
  <c r="U85" i="9"/>
  <c r="V85" i="9"/>
  <c r="W85" i="9"/>
  <c r="X85" i="9"/>
  <c r="Y85" i="9"/>
  <c r="Z85" i="9"/>
  <c r="AA85" i="9"/>
  <c r="AB85" i="9"/>
  <c r="AC85" i="9"/>
  <c r="AD85" i="9"/>
  <c r="AE85" i="9"/>
  <c r="H86" i="9"/>
  <c r="I86" i="9"/>
  <c r="J86" i="9"/>
  <c r="K86" i="9"/>
  <c r="L86" i="9"/>
  <c r="M86" i="9"/>
  <c r="N86" i="9"/>
  <c r="O86" i="9"/>
  <c r="P86" i="9"/>
  <c r="Q86" i="9"/>
  <c r="R86" i="9"/>
  <c r="S86" i="9"/>
  <c r="T86" i="9"/>
  <c r="U86" i="9"/>
  <c r="V86" i="9"/>
  <c r="W86" i="9"/>
  <c r="X86" i="9"/>
  <c r="Y86" i="9"/>
  <c r="Z86" i="9"/>
  <c r="AA86" i="9"/>
  <c r="AB86" i="9"/>
  <c r="AC86" i="9"/>
  <c r="AD86" i="9"/>
  <c r="AE86" i="9"/>
  <c r="H87" i="9"/>
  <c r="I87" i="9"/>
  <c r="J87" i="9"/>
  <c r="K87" i="9"/>
  <c r="L87" i="9"/>
  <c r="M87" i="9"/>
  <c r="N87" i="9"/>
  <c r="O87" i="9"/>
  <c r="P87" i="9"/>
  <c r="Q87" i="9"/>
  <c r="R87" i="9"/>
  <c r="S87" i="9"/>
  <c r="T87" i="9"/>
  <c r="U87" i="9"/>
  <c r="V87" i="9"/>
  <c r="W87" i="9"/>
  <c r="X87" i="9"/>
  <c r="Y87" i="9"/>
  <c r="Z87" i="9"/>
  <c r="AA87" i="9"/>
  <c r="AB87" i="9"/>
  <c r="AC87" i="9"/>
  <c r="AD87" i="9"/>
  <c r="AE87" i="9"/>
  <c r="H88" i="9"/>
  <c r="I88" i="9"/>
  <c r="J88" i="9"/>
  <c r="K88" i="9"/>
  <c r="L88" i="9"/>
  <c r="M88" i="9"/>
  <c r="N88" i="9"/>
  <c r="O88" i="9"/>
  <c r="P88" i="9"/>
  <c r="Q88" i="9"/>
  <c r="R88" i="9"/>
  <c r="S88" i="9"/>
  <c r="T88" i="9"/>
  <c r="U88" i="9"/>
  <c r="V88" i="9"/>
  <c r="W88" i="9"/>
  <c r="X88" i="9"/>
  <c r="Y88" i="9"/>
  <c r="Z88" i="9"/>
  <c r="AA88" i="9"/>
  <c r="AB88" i="9"/>
  <c r="AC88" i="9"/>
  <c r="AD88" i="9"/>
  <c r="AE88" i="9"/>
  <c r="H89" i="9"/>
  <c r="I89" i="9"/>
  <c r="J89" i="9"/>
  <c r="K89" i="9"/>
  <c r="L89" i="9"/>
  <c r="M89" i="9"/>
  <c r="N89" i="9"/>
  <c r="O89" i="9"/>
  <c r="P89" i="9"/>
  <c r="Q89" i="9"/>
  <c r="R89" i="9"/>
  <c r="S89" i="9"/>
  <c r="T89" i="9"/>
  <c r="U89" i="9"/>
  <c r="V89" i="9"/>
  <c r="W89" i="9"/>
  <c r="X89" i="9"/>
  <c r="Y89" i="9"/>
  <c r="Z89" i="9"/>
  <c r="AA89" i="9"/>
  <c r="AB89" i="9"/>
  <c r="AC89" i="9"/>
  <c r="AD89" i="9"/>
  <c r="AE89" i="9"/>
  <c r="H90" i="9"/>
  <c r="I90" i="9"/>
  <c r="J90" i="9"/>
  <c r="K90" i="9"/>
  <c r="L90" i="9"/>
  <c r="M90" i="9"/>
  <c r="N90" i="9"/>
  <c r="O90" i="9"/>
  <c r="P90" i="9"/>
  <c r="Q90" i="9"/>
  <c r="R90" i="9"/>
  <c r="S90" i="9"/>
  <c r="T90" i="9"/>
  <c r="U90" i="9"/>
  <c r="V90" i="9"/>
  <c r="W90" i="9"/>
  <c r="X90" i="9"/>
  <c r="Y90" i="9"/>
  <c r="Z90" i="9"/>
  <c r="AA90" i="9"/>
  <c r="AB90" i="9"/>
  <c r="AC90" i="9"/>
  <c r="AD90" i="9"/>
  <c r="AE90" i="9"/>
  <c r="H91" i="9"/>
  <c r="I91" i="9"/>
  <c r="J91" i="9"/>
  <c r="K91" i="9"/>
  <c r="L91" i="9"/>
  <c r="M91" i="9"/>
  <c r="N91" i="9"/>
  <c r="O91" i="9"/>
  <c r="P91" i="9"/>
  <c r="Q91" i="9"/>
  <c r="R91" i="9"/>
  <c r="S91" i="9"/>
  <c r="T91" i="9"/>
  <c r="U91" i="9"/>
  <c r="V91" i="9"/>
  <c r="W91" i="9"/>
  <c r="X91" i="9"/>
  <c r="Y91" i="9"/>
  <c r="Z91" i="9"/>
  <c r="AA91" i="9"/>
  <c r="AB91" i="9"/>
  <c r="AC91" i="9"/>
  <c r="AD91" i="9"/>
  <c r="AE91" i="9"/>
  <c r="I80" i="9"/>
  <c r="J80" i="9"/>
  <c r="K80" i="9"/>
  <c r="L80" i="9"/>
  <c r="M80" i="9"/>
  <c r="N80" i="9"/>
  <c r="O80" i="9"/>
  <c r="P80" i="9"/>
  <c r="Q80" i="9"/>
  <c r="R80" i="9"/>
  <c r="S80" i="9"/>
  <c r="T80" i="9"/>
  <c r="U80" i="9"/>
  <c r="V80" i="9"/>
  <c r="W80" i="9"/>
  <c r="X80" i="9"/>
  <c r="Y80" i="9"/>
  <c r="Z80" i="9"/>
  <c r="AA80" i="9"/>
  <c r="AB80" i="9"/>
  <c r="AC80" i="9"/>
  <c r="AD80" i="9"/>
  <c r="AE80" i="9"/>
  <c r="H80" i="9"/>
  <c r="C135" i="9"/>
  <c r="D135" i="9"/>
  <c r="E135" i="9"/>
  <c r="F135" i="9"/>
  <c r="G135" i="9"/>
  <c r="H135" i="9"/>
  <c r="I135" i="9"/>
  <c r="J135" i="9"/>
  <c r="K135" i="9"/>
  <c r="L135" i="9"/>
  <c r="M135" i="9"/>
  <c r="N135" i="9"/>
  <c r="O135" i="9"/>
  <c r="P135" i="9"/>
  <c r="Q135" i="9"/>
  <c r="R135" i="9"/>
  <c r="S135" i="9"/>
  <c r="T135" i="9"/>
  <c r="U135" i="9"/>
  <c r="V135" i="9"/>
  <c r="W135" i="9"/>
  <c r="X135" i="9"/>
  <c r="Y135" i="9"/>
  <c r="Z135" i="9"/>
  <c r="C136" i="9"/>
  <c r="D136" i="9"/>
  <c r="E136" i="9"/>
  <c r="F136" i="9"/>
  <c r="G136" i="9"/>
  <c r="H136" i="9"/>
  <c r="I136" i="9"/>
  <c r="J136" i="9"/>
  <c r="K136" i="9"/>
  <c r="L136" i="9"/>
  <c r="M136" i="9"/>
  <c r="N136" i="9"/>
  <c r="O136" i="9"/>
  <c r="P136" i="9"/>
  <c r="Q136" i="9"/>
  <c r="R136" i="9"/>
  <c r="S136" i="9"/>
  <c r="T136" i="9"/>
  <c r="U136" i="9"/>
  <c r="V136" i="9"/>
  <c r="W136" i="9"/>
  <c r="X136" i="9"/>
  <c r="Y136" i="9"/>
  <c r="Z136" i="9"/>
  <c r="C137" i="9"/>
  <c r="D137" i="9"/>
  <c r="E137" i="9"/>
  <c r="F137" i="9"/>
  <c r="G137" i="9"/>
  <c r="H137" i="9"/>
  <c r="I137" i="9"/>
  <c r="J137" i="9"/>
  <c r="K137" i="9"/>
  <c r="L137" i="9"/>
  <c r="M137" i="9"/>
  <c r="N137" i="9"/>
  <c r="O137" i="9"/>
  <c r="P137" i="9"/>
  <c r="Q137" i="9"/>
  <c r="R137" i="9"/>
  <c r="S137" i="9"/>
  <c r="T137" i="9"/>
  <c r="U137" i="9"/>
  <c r="V137" i="9"/>
  <c r="W137" i="9"/>
  <c r="X137" i="9"/>
  <c r="Y137" i="9"/>
  <c r="Z137" i="9"/>
  <c r="C138" i="9"/>
  <c r="D138" i="9"/>
  <c r="E138" i="9"/>
  <c r="F138" i="9"/>
  <c r="G138" i="9"/>
  <c r="H138" i="9"/>
  <c r="I138" i="9"/>
  <c r="J138" i="9"/>
  <c r="K138" i="9"/>
  <c r="L138" i="9"/>
  <c r="M138" i="9"/>
  <c r="N138" i="9"/>
  <c r="O138" i="9"/>
  <c r="P138" i="9"/>
  <c r="Q138" i="9"/>
  <c r="R138" i="9"/>
  <c r="S138" i="9"/>
  <c r="T138" i="9"/>
  <c r="U138" i="9"/>
  <c r="V138" i="9"/>
  <c r="W138" i="9"/>
  <c r="X138" i="9"/>
  <c r="Y138" i="9"/>
  <c r="Z138" i="9"/>
  <c r="C139" i="9"/>
  <c r="D139" i="9"/>
  <c r="E139" i="9"/>
  <c r="F139" i="9"/>
  <c r="G139" i="9"/>
  <c r="H139" i="9"/>
  <c r="I139" i="9"/>
  <c r="J139" i="9"/>
  <c r="K139" i="9"/>
  <c r="L139" i="9"/>
  <c r="M139" i="9"/>
  <c r="N139" i="9"/>
  <c r="O139" i="9"/>
  <c r="P139" i="9"/>
  <c r="Q139" i="9"/>
  <c r="R139" i="9"/>
  <c r="S139" i="9"/>
  <c r="T139" i="9"/>
  <c r="U139" i="9"/>
  <c r="V139" i="9"/>
  <c r="W139" i="9"/>
  <c r="X139" i="9"/>
  <c r="Y139" i="9"/>
  <c r="Z139" i="9"/>
  <c r="C140" i="9"/>
  <c r="D140" i="9"/>
  <c r="E140" i="9"/>
  <c r="F140" i="9"/>
  <c r="G140" i="9"/>
  <c r="H140" i="9"/>
  <c r="I140" i="9"/>
  <c r="J140" i="9"/>
  <c r="K140" i="9"/>
  <c r="L140" i="9"/>
  <c r="M140" i="9"/>
  <c r="N140" i="9"/>
  <c r="O140" i="9"/>
  <c r="P140" i="9"/>
  <c r="Q140" i="9"/>
  <c r="R140" i="9"/>
  <c r="S140" i="9"/>
  <c r="T140" i="9"/>
  <c r="U140" i="9"/>
  <c r="V140" i="9"/>
  <c r="W140" i="9"/>
  <c r="X140" i="9"/>
  <c r="Y140" i="9"/>
  <c r="Z140" i="9"/>
  <c r="C141" i="9"/>
  <c r="D141" i="9"/>
  <c r="E141" i="9"/>
  <c r="F141" i="9"/>
  <c r="G141" i="9"/>
  <c r="H141" i="9"/>
  <c r="I141" i="9"/>
  <c r="J141" i="9"/>
  <c r="K141" i="9"/>
  <c r="L141" i="9"/>
  <c r="M141" i="9"/>
  <c r="N141" i="9"/>
  <c r="O141" i="9"/>
  <c r="P141" i="9"/>
  <c r="Q141" i="9"/>
  <c r="R141" i="9"/>
  <c r="S141" i="9"/>
  <c r="T141" i="9"/>
  <c r="U141" i="9"/>
  <c r="V141" i="9"/>
  <c r="W141" i="9"/>
  <c r="X141" i="9"/>
  <c r="Y141" i="9"/>
  <c r="Z141" i="9"/>
  <c r="C142" i="9"/>
  <c r="D142" i="9"/>
  <c r="E142" i="9"/>
  <c r="F142" i="9"/>
  <c r="G142" i="9"/>
  <c r="H142" i="9"/>
  <c r="I142" i="9"/>
  <c r="J142" i="9"/>
  <c r="K142" i="9"/>
  <c r="L142" i="9"/>
  <c r="M142" i="9"/>
  <c r="N142" i="9"/>
  <c r="O142" i="9"/>
  <c r="P142" i="9"/>
  <c r="Q142" i="9"/>
  <c r="R142" i="9"/>
  <c r="S142" i="9"/>
  <c r="T142" i="9"/>
  <c r="U142" i="9"/>
  <c r="V142" i="9"/>
  <c r="W142" i="9"/>
  <c r="X142" i="9"/>
  <c r="Y142" i="9"/>
  <c r="Z142" i="9"/>
  <c r="C143" i="9"/>
  <c r="D143" i="9"/>
  <c r="E143" i="9"/>
  <c r="F143" i="9"/>
  <c r="G143" i="9"/>
  <c r="H143" i="9"/>
  <c r="I143" i="9"/>
  <c r="J143" i="9"/>
  <c r="K143" i="9"/>
  <c r="L143" i="9"/>
  <c r="M143" i="9"/>
  <c r="N143" i="9"/>
  <c r="O143" i="9"/>
  <c r="P143" i="9"/>
  <c r="Q143" i="9"/>
  <c r="R143" i="9"/>
  <c r="S143" i="9"/>
  <c r="T143" i="9"/>
  <c r="U143" i="9"/>
  <c r="V143" i="9"/>
  <c r="W143" i="9"/>
  <c r="X143" i="9"/>
  <c r="Y143" i="9"/>
  <c r="Z143" i="9"/>
  <c r="C144" i="9"/>
  <c r="D144" i="9"/>
  <c r="E144" i="9"/>
  <c r="F144" i="9"/>
  <c r="G144" i="9"/>
  <c r="H144" i="9"/>
  <c r="I144" i="9"/>
  <c r="J144" i="9"/>
  <c r="K144" i="9"/>
  <c r="L144" i="9"/>
  <c r="M144" i="9"/>
  <c r="N144" i="9"/>
  <c r="O144" i="9"/>
  <c r="P144" i="9"/>
  <c r="Q144" i="9"/>
  <c r="R144" i="9"/>
  <c r="S144" i="9"/>
  <c r="T144" i="9"/>
  <c r="U144" i="9"/>
  <c r="V144" i="9"/>
  <c r="W144" i="9"/>
  <c r="X144" i="9"/>
  <c r="Y144" i="9"/>
  <c r="Z144" i="9"/>
  <c r="C145" i="9"/>
  <c r="D145" i="9"/>
  <c r="E145" i="9"/>
  <c r="F145" i="9"/>
  <c r="G145" i="9"/>
  <c r="H145" i="9"/>
  <c r="I145" i="9"/>
  <c r="J145" i="9"/>
  <c r="K145" i="9"/>
  <c r="L145" i="9"/>
  <c r="M145" i="9"/>
  <c r="N145" i="9"/>
  <c r="O145" i="9"/>
  <c r="P145" i="9"/>
  <c r="Q145" i="9"/>
  <c r="R145" i="9"/>
  <c r="S145" i="9"/>
  <c r="T145" i="9"/>
  <c r="U145" i="9"/>
  <c r="V145" i="9"/>
  <c r="W145" i="9"/>
  <c r="X145" i="9"/>
  <c r="Y145" i="9"/>
  <c r="Z145" i="9"/>
  <c r="D134" i="9"/>
  <c r="E134" i="9"/>
  <c r="F134" i="9"/>
  <c r="G134" i="9"/>
  <c r="H134" i="9"/>
  <c r="I134" i="9"/>
  <c r="J134" i="9"/>
  <c r="K134" i="9"/>
  <c r="L134" i="9"/>
  <c r="M134" i="9"/>
  <c r="N134" i="9"/>
  <c r="O134" i="9"/>
  <c r="P134" i="9"/>
  <c r="Q134" i="9"/>
  <c r="R134" i="9"/>
  <c r="S134" i="9"/>
  <c r="T134" i="9"/>
  <c r="U134" i="9"/>
  <c r="V134" i="9"/>
  <c r="W134" i="9"/>
  <c r="X134" i="9"/>
  <c r="Y134" i="9"/>
  <c r="Z134" i="9"/>
  <c r="C134" i="9"/>
  <c r="K12" i="12" l="1"/>
  <c r="K13" i="12"/>
  <c r="K14" i="12"/>
  <c r="K15" i="12"/>
  <c r="K16" i="12"/>
  <c r="K17" i="12"/>
  <c r="K18" i="12"/>
  <c r="K19" i="12"/>
  <c r="K20" i="12"/>
  <c r="K21" i="12"/>
  <c r="K22" i="12"/>
  <c r="K23" i="12"/>
  <c r="K24" i="12"/>
  <c r="K25" i="12"/>
  <c r="K26" i="12"/>
  <c r="K27" i="12"/>
  <c r="K28" i="12"/>
  <c r="K29" i="12"/>
  <c r="K30" i="12"/>
  <c r="K31" i="12"/>
  <c r="K32" i="12"/>
  <c r="K33" i="12"/>
  <c r="K34" i="12"/>
  <c r="K35" i="12"/>
  <c r="K36" i="12"/>
  <c r="BS95" i="9"/>
  <c r="BS96" i="9"/>
  <c r="BS97" i="9"/>
  <c r="BS98" i="9"/>
  <c r="BS99" i="9"/>
  <c r="BS100" i="9"/>
  <c r="BS101" i="9"/>
  <c r="BS102" i="9"/>
  <c r="BS103" i="9"/>
  <c r="BS104" i="9"/>
  <c r="BS105" i="9"/>
  <c r="BS106" i="9"/>
  <c r="E32" i="12" l="1"/>
  <c r="E33" i="12"/>
  <c r="E34" i="12"/>
  <c r="E35" i="12"/>
  <c r="E36" i="12"/>
  <c r="D32" i="12"/>
  <c r="D33" i="12"/>
  <c r="D34" i="12"/>
  <c r="D35" i="12"/>
  <c r="D36" i="12"/>
  <c r="N6" i="11" l="1"/>
  <c r="N8" i="12" l="1"/>
  <c r="N7" i="12"/>
  <c r="N11" i="12"/>
  <c r="N10" i="12"/>
  <c r="N9" i="12"/>
  <c r="L6" i="12"/>
  <c r="Q6" i="12" s="1"/>
  <c r="T6" i="12" l="1"/>
  <c r="U6" i="12" s="1"/>
  <c r="S6" i="12"/>
  <c r="P6" i="12"/>
  <c r="O7" i="12" l="1"/>
  <c r="P7" i="12" s="1"/>
  <c r="O8" i="12" s="1"/>
  <c r="P8" i="12" l="1"/>
  <c r="J32" i="12"/>
  <c r="J33" i="12"/>
  <c r="J34" i="12"/>
  <c r="J35" i="12"/>
  <c r="J36" i="12"/>
  <c r="J8" i="12"/>
  <c r="J9" i="12"/>
  <c r="J10" i="12"/>
  <c r="J11" i="12"/>
  <c r="J12" i="12"/>
  <c r="J13" i="12"/>
  <c r="J14" i="12"/>
  <c r="J15" i="12"/>
  <c r="J16" i="12"/>
  <c r="J17" i="12"/>
  <c r="J18" i="12"/>
  <c r="J19" i="12"/>
  <c r="J20" i="12"/>
  <c r="J21" i="12"/>
  <c r="J22" i="12"/>
  <c r="J23" i="12"/>
  <c r="J24" i="12"/>
  <c r="J25" i="12"/>
  <c r="J26" i="12"/>
  <c r="J27" i="12"/>
  <c r="J28" i="12"/>
  <c r="J29" i="12"/>
  <c r="J30" i="12"/>
  <c r="J31" i="12"/>
  <c r="J7" i="12"/>
  <c r="G6" i="12"/>
  <c r="G7" i="12" s="1"/>
  <c r="G8" i="12" s="1"/>
  <c r="G9" i="12" s="1"/>
  <c r="G10" i="12" s="1"/>
  <c r="G11" i="12" s="1"/>
  <c r="G12" i="12" s="1"/>
  <c r="G13" i="12" s="1"/>
  <c r="G14" i="12" s="1"/>
  <c r="G15" i="12" s="1"/>
  <c r="G16" i="12" s="1"/>
  <c r="G17" i="12" s="1"/>
  <c r="G18" i="12" s="1"/>
  <c r="G19" i="12" s="1"/>
  <c r="G20" i="12" s="1"/>
  <c r="G21" i="12" s="1"/>
  <c r="G22" i="12" s="1"/>
  <c r="G23" i="12" s="1"/>
  <c r="G24" i="12" s="1"/>
  <c r="G25" i="12" s="1"/>
  <c r="G26" i="12" s="1"/>
  <c r="G27" i="12" s="1"/>
  <c r="G28" i="12" s="1"/>
  <c r="G29" i="12" s="1"/>
  <c r="G30" i="12" s="1"/>
  <c r="G31" i="12" s="1"/>
  <c r="G32" i="12" s="1"/>
  <c r="G33" i="12" s="1"/>
  <c r="G34" i="12" s="1"/>
  <c r="G35" i="12" s="1"/>
  <c r="G36" i="12" s="1"/>
  <c r="F6" i="12"/>
  <c r="F7" i="12" s="1"/>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O9" i="12" l="1"/>
  <c r="P9" i="12" s="1"/>
  <c r="O10" i="12" l="1"/>
  <c r="P10" i="12" s="1"/>
  <c r="D2" i="9"/>
  <c r="D3" i="9"/>
  <c r="D1" i="9"/>
  <c r="O11" i="12" l="1"/>
  <c r="P11" i="12" s="1"/>
  <c r="O12" i="12" s="1"/>
  <c r="R15" i="9"/>
  <c r="W15" i="9"/>
  <c r="O16" i="9"/>
  <c r="G17" i="9"/>
  <c r="W17" i="9"/>
  <c r="O18" i="9"/>
  <c r="G19" i="9"/>
  <c r="W19" i="9"/>
  <c r="O20" i="9"/>
  <c r="G21" i="9"/>
  <c r="W21" i="9"/>
  <c r="O22" i="9"/>
  <c r="G23" i="9"/>
  <c r="W23" i="9"/>
  <c r="O24" i="9"/>
  <c r="G25" i="9"/>
  <c r="W25" i="9"/>
  <c r="O26" i="9"/>
  <c r="H15" i="9"/>
  <c r="X15" i="9"/>
  <c r="P16" i="9"/>
  <c r="H17" i="9"/>
  <c r="X17" i="9"/>
  <c r="O15" i="9"/>
  <c r="Q26" i="9"/>
  <c r="T25" i="9"/>
  <c r="V24" i="9"/>
  <c r="Y23" i="9"/>
  <c r="D23" i="9"/>
  <c r="F22" i="9"/>
  <c r="I21" i="9"/>
  <c r="L20" i="9"/>
  <c r="N19" i="9"/>
  <c r="Q18" i="9"/>
  <c r="N17" i="9"/>
  <c r="F16" i="9"/>
  <c r="T26" i="9"/>
  <c r="V25" i="9"/>
  <c r="Y24" i="9"/>
  <c r="D24" i="9"/>
  <c r="F23" i="9"/>
  <c r="I22" i="9"/>
  <c r="L21" i="9"/>
  <c r="N20" i="9"/>
  <c r="Q19" i="9"/>
  <c r="T18" i="9"/>
  <c r="R17" i="9"/>
  <c r="J16" i="9"/>
  <c r="K15" i="9"/>
  <c r="M26" i="9"/>
  <c r="P25" i="9"/>
  <c r="R24" i="9"/>
  <c r="U23" i="9"/>
  <c r="X22" i="9"/>
  <c r="Z21" i="9"/>
  <c r="E21" i="9"/>
  <c r="H20" i="9"/>
  <c r="J19" i="9"/>
  <c r="M18" i="9"/>
  <c r="I17" i="9"/>
  <c r="Y15" i="9"/>
  <c r="Z26" i="9"/>
  <c r="E26" i="9"/>
  <c r="H25" i="9"/>
  <c r="J24" i="9"/>
  <c r="M23" i="9"/>
  <c r="P22" i="9"/>
  <c r="R21" i="9"/>
  <c r="U20" i="9"/>
  <c r="X19" i="9"/>
  <c r="Z18" i="9"/>
  <c r="E18" i="9"/>
  <c r="U16" i="9"/>
  <c r="U17" i="9"/>
  <c r="C17" i="9"/>
  <c r="C19" i="9"/>
  <c r="K20" i="9"/>
  <c r="C21" i="9"/>
  <c r="K22" i="9"/>
  <c r="S23" i="9"/>
  <c r="K26" i="9"/>
  <c r="T15" i="9"/>
  <c r="T17" i="9"/>
  <c r="V26" i="9"/>
  <c r="F24" i="9"/>
  <c r="N21" i="9"/>
  <c r="C16" i="9"/>
  <c r="S16" i="9"/>
  <c r="K17" i="9"/>
  <c r="C18" i="9"/>
  <c r="S18" i="9"/>
  <c r="K19" i="9"/>
  <c r="C20" i="9"/>
  <c r="S20" i="9"/>
  <c r="K21" i="9"/>
  <c r="C22" i="9"/>
  <c r="S22" i="9"/>
  <c r="K23" i="9"/>
  <c r="C24" i="9"/>
  <c r="S24" i="9"/>
  <c r="K25" i="9"/>
  <c r="C26" i="9"/>
  <c r="S26" i="9"/>
  <c r="L15" i="9"/>
  <c r="D16" i="9"/>
  <c r="T16" i="9"/>
  <c r="L17" i="9"/>
  <c r="D18" i="9"/>
  <c r="J15" i="9"/>
  <c r="L26" i="9"/>
  <c r="N25" i="9"/>
  <c r="Q24" i="9"/>
  <c r="T23" i="9"/>
  <c r="V22" i="9"/>
  <c r="Y21" i="9"/>
  <c r="D21" i="9"/>
  <c r="F20" i="9"/>
  <c r="I19" i="9"/>
  <c r="L18" i="9"/>
  <c r="F17" i="9"/>
  <c r="M15" i="9"/>
  <c r="N26" i="9"/>
  <c r="Q25" i="9"/>
  <c r="T24" i="9"/>
  <c r="V23" i="9"/>
  <c r="Y22" i="9"/>
  <c r="D22" i="9"/>
  <c r="F21" i="9"/>
  <c r="I20" i="9"/>
  <c r="L19" i="9"/>
  <c r="N18" i="9"/>
  <c r="J17" i="9"/>
  <c r="C15" i="9"/>
  <c r="F15" i="9"/>
  <c r="H26" i="9"/>
  <c r="J25" i="9"/>
  <c r="M24" i="9"/>
  <c r="P23" i="9"/>
  <c r="R22" i="9"/>
  <c r="U21" i="9"/>
  <c r="X20" i="9"/>
  <c r="Z19" i="9"/>
  <c r="E19" i="9"/>
  <c r="H18" i="9"/>
  <c r="Y16" i="9"/>
  <c r="S15" i="9"/>
  <c r="U26" i="9"/>
  <c r="X25" i="9"/>
  <c r="Z24" i="9"/>
  <c r="E24" i="9"/>
  <c r="H23" i="9"/>
  <c r="J22" i="9"/>
  <c r="M21" i="9"/>
  <c r="P20" i="9"/>
  <c r="R19" i="9"/>
  <c r="U18" i="9"/>
  <c r="M16" i="9"/>
  <c r="S17" i="9"/>
  <c r="C25" i="9"/>
  <c r="L16" i="9"/>
  <c r="U15" i="9"/>
  <c r="D25" i="9"/>
  <c r="L22" i="9"/>
  <c r="T19" i="9"/>
  <c r="G16" i="9"/>
  <c r="W16" i="9"/>
  <c r="O17" i="9"/>
  <c r="G18" i="9"/>
  <c r="W18" i="9"/>
  <c r="O19" i="9"/>
  <c r="G20" i="9"/>
  <c r="W20" i="9"/>
  <c r="O21" i="9"/>
  <c r="G22" i="9"/>
  <c r="W22" i="9"/>
  <c r="O23" i="9"/>
  <c r="G24" i="9"/>
  <c r="W24" i="9"/>
  <c r="O25" i="9"/>
  <c r="G26" i="9"/>
  <c r="W26" i="9"/>
  <c r="P15" i="9"/>
  <c r="H16" i="9"/>
  <c r="X16" i="9"/>
  <c r="P17" i="9"/>
  <c r="Z15" i="9"/>
  <c r="E15" i="9"/>
  <c r="F26" i="9"/>
  <c r="I25" i="9"/>
  <c r="L24" i="9"/>
  <c r="N23" i="9"/>
  <c r="Q22" i="9"/>
  <c r="T21" i="9"/>
  <c r="V20" i="9"/>
  <c r="Y19" i="9"/>
  <c r="D19" i="9"/>
  <c r="F18" i="9"/>
  <c r="V16" i="9"/>
  <c r="G15" i="9"/>
  <c r="I26" i="9"/>
  <c r="L25" i="9"/>
  <c r="N24" i="9"/>
  <c r="Q23" i="9"/>
  <c r="T22" i="9"/>
  <c r="V21" i="9"/>
  <c r="Y20" i="9"/>
  <c r="D20" i="9"/>
  <c r="F19" i="9"/>
  <c r="I18" i="9"/>
  <c r="Z16" i="9"/>
  <c r="V15" i="9"/>
  <c r="X26" i="9"/>
  <c r="Z25" i="9"/>
  <c r="E25" i="9"/>
  <c r="H24" i="9"/>
  <c r="J23" i="9"/>
  <c r="M22" i="9"/>
  <c r="P21" i="9"/>
  <c r="R20" i="9"/>
  <c r="U19" i="9"/>
  <c r="X18" i="9"/>
  <c r="Y17" i="9"/>
  <c r="Q16" i="9"/>
  <c r="N15" i="9"/>
  <c r="P26" i="9"/>
  <c r="R25" i="9"/>
  <c r="U24" i="9"/>
  <c r="X23" i="9"/>
  <c r="Z22" i="9"/>
  <c r="E22" i="9"/>
  <c r="H21" i="9"/>
  <c r="J20" i="9"/>
  <c r="M19" i="9"/>
  <c r="P18" i="9"/>
  <c r="M17" i="9"/>
  <c r="E16" i="9"/>
  <c r="K16" i="9"/>
  <c r="K18" i="9"/>
  <c r="S19" i="9"/>
  <c r="S21" i="9"/>
  <c r="C23" i="9"/>
  <c r="K24" i="9"/>
  <c r="S25" i="9"/>
  <c r="D15" i="9"/>
  <c r="D17" i="9"/>
  <c r="Y25" i="9"/>
  <c r="I23" i="9"/>
  <c r="Q20" i="9"/>
  <c r="V17" i="9"/>
  <c r="V18" i="9"/>
  <c r="F25" i="9"/>
  <c r="Q21" i="9"/>
  <c r="Z17" i="9"/>
  <c r="U25" i="9"/>
  <c r="H22" i="9"/>
  <c r="R18" i="9"/>
  <c r="J26" i="9"/>
  <c r="U22" i="9"/>
  <c r="H19" i="9"/>
  <c r="Y26" i="9"/>
  <c r="V19" i="9"/>
  <c r="Z23" i="9"/>
  <c r="M20" i="9"/>
  <c r="P24" i="9"/>
  <c r="E17" i="9"/>
  <c r="N22" i="9"/>
  <c r="R26" i="9"/>
  <c r="P19" i="9"/>
  <c r="R23" i="9"/>
  <c r="N16" i="9"/>
  <c r="I24" i="9"/>
  <c r="T20" i="9"/>
  <c r="R16" i="9"/>
  <c r="X24" i="9"/>
  <c r="J21" i="9"/>
  <c r="Q17" i="9"/>
  <c r="M25" i="9"/>
  <c r="X21" i="9"/>
  <c r="J18" i="9"/>
  <c r="L23" i="9"/>
  <c r="Q15" i="9"/>
  <c r="I16" i="9"/>
  <c r="Z20" i="9"/>
  <c r="D26" i="9"/>
  <c r="Y18" i="9"/>
  <c r="E23" i="9"/>
  <c r="I15" i="9"/>
  <c r="E20" i="9"/>
  <c r="F31" i="9" l="1"/>
  <c r="AK15" i="9" s="1"/>
  <c r="J31" i="9"/>
  <c r="AO15" i="9" s="1"/>
  <c r="N31" i="9"/>
  <c r="AS15" i="9" s="1"/>
  <c r="C31" i="9"/>
  <c r="AH15" i="9" s="1"/>
  <c r="G31" i="9"/>
  <c r="AL15" i="9" s="1"/>
  <c r="K31" i="9"/>
  <c r="AP15" i="9" s="1"/>
  <c r="D31" i="9"/>
  <c r="AI15" i="9" s="1"/>
  <c r="H31" i="9"/>
  <c r="AM15" i="9" s="1"/>
  <c r="L31" i="9"/>
  <c r="AQ15" i="9" s="1"/>
  <c r="I31" i="9"/>
  <c r="AN15" i="9" s="1"/>
  <c r="E31" i="9"/>
  <c r="AJ15" i="9" s="1"/>
  <c r="M31" i="9"/>
  <c r="AR15" i="9" s="1"/>
  <c r="D35" i="9"/>
  <c r="AI19" i="9" s="1"/>
  <c r="H35" i="9"/>
  <c r="AM19" i="9" s="1"/>
  <c r="L35" i="9"/>
  <c r="AQ19" i="9" s="1"/>
  <c r="E35" i="9"/>
  <c r="AJ19" i="9" s="1"/>
  <c r="M35" i="9"/>
  <c r="AR19" i="9" s="1"/>
  <c r="C35" i="9"/>
  <c r="AH19" i="9" s="1"/>
  <c r="I35" i="9"/>
  <c r="AN19" i="9" s="1"/>
  <c r="K35" i="9"/>
  <c r="AP19" i="9" s="1"/>
  <c r="F35" i="9"/>
  <c r="AK19" i="9" s="1"/>
  <c r="J35" i="9"/>
  <c r="AO19" i="9" s="1"/>
  <c r="N35" i="9"/>
  <c r="AS19" i="9" s="1"/>
  <c r="G35" i="9"/>
  <c r="AL19" i="9" s="1"/>
  <c r="D34" i="9"/>
  <c r="AI18" i="9" s="1"/>
  <c r="AI66" i="9" s="1"/>
  <c r="C34" i="9"/>
  <c r="AH18" i="9" s="1"/>
  <c r="AH66" i="9" s="1"/>
  <c r="H34" i="9"/>
  <c r="AM18" i="9" s="1"/>
  <c r="L34" i="9"/>
  <c r="AQ18" i="9" s="1"/>
  <c r="I34" i="9"/>
  <c r="AN18" i="9" s="1"/>
  <c r="G34" i="9"/>
  <c r="AL18" i="9" s="1"/>
  <c r="E34" i="9"/>
  <c r="AJ18" i="9" s="1"/>
  <c r="M34" i="9"/>
  <c r="AR18" i="9" s="1"/>
  <c r="F34" i="9"/>
  <c r="AK18" i="9" s="1"/>
  <c r="J34" i="9"/>
  <c r="AO18" i="9" s="1"/>
  <c r="N34" i="9"/>
  <c r="AS18" i="9" s="1"/>
  <c r="K34" i="9"/>
  <c r="AP18" i="9" s="1"/>
  <c r="D38" i="9"/>
  <c r="AI22" i="9" s="1"/>
  <c r="H38" i="9"/>
  <c r="AM22" i="9" s="1"/>
  <c r="L38" i="9"/>
  <c r="AQ22" i="9" s="1"/>
  <c r="E38" i="9"/>
  <c r="AJ22" i="9" s="1"/>
  <c r="I38" i="9"/>
  <c r="AN22" i="9" s="1"/>
  <c r="C38" i="9"/>
  <c r="AH22" i="9" s="1"/>
  <c r="M38" i="9"/>
  <c r="AR22" i="9" s="1"/>
  <c r="K38" i="9"/>
  <c r="AP22" i="9" s="1"/>
  <c r="F38" i="9"/>
  <c r="AK22" i="9" s="1"/>
  <c r="J38" i="9"/>
  <c r="AO22" i="9" s="1"/>
  <c r="N38" i="9"/>
  <c r="AS22" i="9" s="1"/>
  <c r="G38" i="9"/>
  <c r="AL22" i="9" s="1"/>
  <c r="D37" i="9"/>
  <c r="AI21" i="9" s="1"/>
  <c r="H37" i="9"/>
  <c r="AM21" i="9" s="1"/>
  <c r="L37" i="9"/>
  <c r="AQ21" i="9" s="1"/>
  <c r="I37" i="9"/>
  <c r="AN21" i="9" s="1"/>
  <c r="C37" i="9"/>
  <c r="AH21" i="9" s="1"/>
  <c r="E37" i="9"/>
  <c r="AJ21" i="9" s="1"/>
  <c r="M37" i="9"/>
  <c r="AR21" i="9" s="1"/>
  <c r="K37" i="9"/>
  <c r="AP21" i="9" s="1"/>
  <c r="F37" i="9"/>
  <c r="AK21" i="9" s="1"/>
  <c r="J37" i="9"/>
  <c r="AO21" i="9" s="1"/>
  <c r="N37" i="9"/>
  <c r="AS21" i="9" s="1"/>
  <c r="G37" i="9"/>
  <c r="AL21" i="9" s="1"/>
  <c r="F33" i="9"/>
  <c r="AK17" i="9" s="1"/>
  <c r="J33" i="9"/>
  <c r="AO17" i="9" s="1"/>
  <c r="N33" i="9"/>
  <c r="AS17" i="9" s="1"/>
  <c r="C33" i="9"/>
  <c r="AH17" i="9" s="1"/>
  <c r="G33" i="9"/>
  <c r="AL17" i="9" s="1"/>
  <c r="K33" i="9"/>
  <c r="AP17" i="9" s="1"/>
  <c r="D33" i="9"/>
  <c r="AI17" i="9" s="1"/>
  <c r="H33" i="9"/>
  <c r="AM17" i="9" s="1"/>
  <c r="L33" i="9"/>
  <c r="AQ17" i="9" s="1"/>
  <c r="E33" i="9"/>
  <c r="AJ17" i="9" s="1"/>
  <c r="M33" i="9"/>
  <c r="AR17" i="9" s="1"/>
  <c r="I33" i="9"/>
  <c r="AN17" i="9" s="1"/>
  <c r="D36" i="9"/>
  <c r="AI20" i="9" s="1"/>
  <c r="H36" i="9"/>
  <c r="AM20" i="9" s="1"/>
  <c r="L36" i="9"/>
  <c r="AQ20" i="9" s="1"/>
  <c r="I36" i="9"/>
  <c r="AN20" i="9" s="1"/>
  <c r="M36" i="9"/>
  <c r="AR20" i="9" s="1"/>
  <c r="G36" i="9"/>
  <c r="AL20" i="9" s="1"/>
  <c r="E36" i="9"/>
  <c r="AJ20" i="9" s="1"/>
  <c r="K36" i="9"/>
  <c r="AP20" i="9" s="1"/>
  <c r="F36" i="9"/>
  <c r="AK20" i="9" s="1"/>
  <c r="J36" i="9"/>
  <c r="AO20" i="9" s="1"/>
  <c r="N36" i="9"/>
  <c r="AS20" i="9" s="1"/>
  <c r="C36" i="9"/>
  <c r="AH20" i="9" s="1"/>
  <c r="F32" i="9"/>
  <c r="AK16" i="9" s="1"/>
  <c r="J32" i="9"/>
  <c r="AO16" i="9" s="1"/>
  <c r="N32" i="9"/>
  <c r="AS16" i="9" s="1"/>
  <c r="C32" i="9"/>
  <c r="AH16" i="9" s="1"/>
  <c r="G32" i="9"/>
  <c r="AL16" i="9" s="1"/>
  <c r="K32" i="9"/>
  <c r="AP16" i="9" s="1"/>
  <c r="D32" i="9"/>
  <c r="AI16" i="9" s="1"/>
  <c r="H32" i="9"/>
  <c r="AM16" i="9" s="1"/>
  <c r="L32" i="9"/>
  <c r="AQ16" i="9" s="1"/>
  <c r="M32" i="9"/>
  <c r="AR16" i="9" s="1"/>
  <c r="E32" i="9"/>
  <c r="AJ16" i="9" s="1"/>
  <c r="I32" i="9"/>
  <c r="AN16" i="9" s="1"/>
  <c r="C40" i="9"/>
  <c r="AH24" i="9" s="1"/>
  <c r="G40" i="9"/>
  <c r="AL24" i="9" s="1"/>
  <c r="K40" i="9"/>
  <c r="AP24" i="9" s="1"/>
  <c r="O40" i="9"/>
  <c r="AT24" i="9" s="1"/>
  <c r="S40" i="9"/>
  <c r="AX24" i="9" s="1"/>
  <c r="W40" i="9"/>
  <c r="BB24" i="9" s="1"/>
  <c r="D40" i="9"/>
  <c r="AI24" i="9" s="1"/>
  <c r="H40" i="9"/>
  <c r="AM24" i="9" s="1"/>
  <c r="L40" i="9"/>
  <c r="AQ24" i="9" s="1"/>
  <c r="P40" i="9"/>
  <c r="AU24" i="9" s="1"/>
  <c r="T40" i="9"/>
  <c r="AY24" i="9" s="1"/>
  <c r="X40" i="9"/>
  <c r="BC24" i="9" s="1"/>
  <c r="E40" i="9"/>
  <c r="AJ24" i="9" s="1"/>
  <c r="I40" i="9"/>
  <c r="AN24" i="9" s="1"/>
  <c r="M40" i="9"/>
  <c r="AR24" i="9" s="1"/>
  <c r="Q40" i="9"/>
  <c r="AV24" i="9" s="1"/>
  <c r="U40" i="9"/>
  <c r="AZ24" i="9" s="1"/>
  <c r="Y40" i="9"/>
  <c r="BD24" i="9" s="1"/>
  <c r="F40" i="9"/>
  <c r="AK24" i="9" s="1"/>
  <c r="J40" i="9"/>
  <c r="AO24" i="9" s="1"/>
  <c r="N40" i="9"/>
  <c r="AS24" i="9" s="1"/>
  <c r="R40" i="9"/>
  <c r="AW24" i="9" s="1"/>
  <c r="V40" i="9"/>
  <c r="BA24" i="9" s="1"/>
  <c r="Z40" i="9"/>
  <c r="BE24" i="9" s="1"/>
  <c r="O36" i="9"/>
  <c r="AT20" i="9" s="1"/>
  <c r="S36" i="9"/>
  <c r="AX20" i="9" s="1"/>
  <c r="W36" i="9"/>
  <c r="BB20" i="9" s="1"/>
  <c r="P36" i="9"/>
  <c r="AU20" i="9" s="1"/>
  <c r="T36" i="9"/>
  <c r="AY20" i="9" s="1"/>
  <c r="X36" i="9"/>
  <c r="BC20" i="9" s="1"/>
  <c r="Q36" i="9"/>
  <c r="AV20" i="9" s="1"/>
  <c r="U36" i="9"/>
  <c r="AZ20" i="9" s="1"/>
  <c r="Y36" i="9"/>
  <c r="BD20" i="9" s="1"/>
  <c r="R36" i="9"/>
  <c r="AW20" i="9" s="1"/>
  <c r="V36" i="9"/>
  <c r="BA20" i="9" s="1"/>
  <c r="Z36" i="9"/>
  <c r="BE20" i="9" s="1"/>
  <c r="O32" i="9"/>
  <c r="AT16" i="9" s="1"/>
  <c r="S32" i="9"/>
  <c r="AX16" i="9" s="1"/>
  <c r="W32" i="9"/>
  <c r="BB16" i="9" s="1"/>
  <c r="P32" i="9"/>
  <c r="AU16" i="9" s="1"/>
  <c r="T32" i="9"/>
  <c r="AY16" i="9" s="1"/>
  <c r="X32" i="9"/>
  <c r="BC16" i="9" s="1"/>
  <c r="Q32" i="9"/>
  <c r="AV16" i="9" s="1"/>
  <c r="U32" i="9"/>
  <c r="AZ16" i="9" s="1"/>
  <c r="Y32" i="9"/>
  <c r="BD16" i="9" s="1"/>
  <c r="R32" i="9"/>
  <c r="AW16" i="9" s="1"/>
  <c r="V32" i="9"/>
  <c r="BA16" i="9" s="1"/>
  <c r="Z32" i="9"/>
  <c r="BE16" i="9" s="1"/>
  <c r="P31" i="9"/>
  <c r="AU15" i="9" s="1"/>
  <c r="T31" i="9"/>
  <c r="AY15" i="9" s="1"/>
  <c r="X31" i="9"/>
  <c r="BC15" i="9" s="1"/>
  <c r="Q31" i="9"/>
  <c r="AV15" i="9" s="1"/>
  <c r="U31" i="9"/>
  <c r="AZ15" i="9" s="1"/>
  <c r="Y31" i="9"/>
  <c r="BD15" i="9" s="1"/>
  <c r="R31" i="9"/>
  <c r="AW15" i="9" s="1"/>
  <c r="V31" i="9"/>
  <c r="BA15" i="9" s="1"/>
  <c r="Z31" i="9"/>
  <c r="BE15" i="9" s="1"/>
  <c r="O31" i="9"/>
  <c r="AT15" i="9" s="1"/>
  <c r="S31" i="9"/>
  <c r="AX15" i="9" s="1"/>
  <c r="W31" i="9"/>
  <c r="BB15" i="9" s="1"/>
  <c r="C39" i="9"/>
  <c r="AH23" i="9" s="1"/>
  <c r="G39" i="9"/>
  <c r="AL23" i="9" s="1"/>
  <c r="K39" i="9"/>
  <c r="AP23" i="9" s="1"/>
  <c r="O39" i="9"/>
  <c r="AT23" i="9" s="1"/>
  <c r="S39" i="9"/>
  <c r="AX23" i="9" s="1"/>
  <c r="W39" i="9"/>
  <c r="BB23" i="9" s="1"/>
  <c r="D39" i="9"/>
  <c r="AI23" i="9" s="1"/>
  <c r="H39" i="9"/>
  <c r="AM23" i="9" s="1"/>
  <c r="L39" i="9"/>
  <c r="AQ23" i="9" s="1"/>
  <c r="P39" i="9"/>
  <c r="AU23" i="9" s="1"/>
  <c r="T39" i="9"/>
  <c r="AY23" i="9" s="1"/>
  <c r="X39" i="9"/>
  <c r="BC23" i="9" s="1"/>
  <c r="E39" i="9"/>
  <c r="AJ23" i="9" s="1"/>
  <c r="I39" i="9"/>
  <c r="AN23" i="9" s="1"/>
  <c r="M39" i="9"/>
  <c r="AR23" i="9" s="1"/>
  <c r="Q39" i="9"/>
  <c r="AV23" i="9" s="1"/>
  <c r="U39" i="9"/>
  <c r="AZ23" i="9" s="1"/>
  <c r="Y39" i="9"/>
  <c r="BD23" i="9" s="1"/>
  <c r="F39" i="9"/>
  <c r="AK23" i="9" s="1"/>
  <c r="J39" i="9"/>
  <c r="AO23" i="9" s="1"/>
  <c r="N39" i="9"/>
  <c r="AS23" i="9" s="1"/>
  <c r="R39" i="9"/>
  <c r="AW23" i="9" s="1"/>
  <c r="V39" i="9"/>
  <c r="BA23" i="9" s="1"/>
  <c r="Z39" i="9"/>
  <c r="BE23" i="9" s="1"/>
  <c r="O35" i="9"/>
  <c r="AT19" i="9" s="1"/>
  <c r="S35" i="9"/>
  <c r="AX19" i="9" s="1"/>
  <c r="W35" i="9"/>
  <c r="BB19" i="9" s="1"/>
  <c r="P35" i="9"/>
  <c r="AU19" i="9" s="1"/>
  <c r="T35" i="9"/>
  <c r="AY19" i="9" s="1"/>
  <c r="X35" i="9"/>
  <c r="BC19" i="9" s="1"/>
  <c r="Q35" i="9"/>
  <c r="AV19" i="9" s="1"/>
  <c r="U35" i="9"/>
  <c r="AZ19" i="9" s="1"/>
  <c r="Y35" i="9"/>
  <c r="BD19" i="9" s="1"/>
  <c r="R35" i="9"/>
  <c r="AW19" i="9" s="1"/>
  <c r="V35" i="9"/>
  <c r="BA19" i="9" s="1"/>
  <c r="Z35" i="9"/>
  <c r="BE19" i="9" s="1"/>
  <c r="C42" i="9"/>
  <c r="AH26" i="9" s="1"/>
  <c r="G42" i="9"/>
  <c r="AL26" i="9" s="1"/>
  <c r="K42" i="9"/>
  <c r="AP26" i="9" s="1"/>
  <c r="O42" i="9"/>
  <c r="AT26" i="9" s="1"/>
  <c r="S42" i="9"/>
  <c r="AX26" i="9" s="1"/>
  <c r="W42" i="9"/>
  <c r="BB26" i="9" s="1"/>
  <c r="D42" i="9"/>
  <c r="AI26" i="9" s="1"/>
  <c r="H42" i="9"/>
  <c r="AM26" i="9" s="1"/>
  <c r="L42" i="9"/>
  <c r="AQ26" i="9" s="1"/>
  <c r="P42" i="9"/>
  <c r="AU26" i="9" s="1"/>
  <c r="T42" i="9"/>
  <c r="AY26" i="9" s="1"/>
  <c r="X42" i="9"/>
  <c r="BC26" i="9" s="1"/>
  <c r="E42" i="9"/>
  <c r="AJ26" i="9" s="1"/>
  <c r="I42" i="9"/>
  <c r="AN26" i="9" s="1"/>
  <c r="M42" i="9"/>
  <c r="AR26" i="9" s="1"/>
  <c r="Q42" i="9"/>
  <c r="AV26" i="9" s="1"/>
  <c r="U42" i="9"/>
  <c r="AZ26" i="9" s="1"/>
  <c r="Y42" i="9"/>
  <c r="BD26" i="9" s="1"/>
  <c r="F42" i="9"/>
  <c r="AK26" i="9" s="1"/>
  <c r="J42" i="9"/>
  <c r="AO26" i="9" s="1"/>
  <c r="N42" i="9"/>
  <c r="AS26" i="9" s="1"/>
  <c r="R42" i="9"/>
  <c r="AW26" i="9" s="1"/>
  <c r="V42" i="9"/>
  <c r="BA26" i="9" s="1"/>
  <c r="Z42" i="9"/>
  <c r="BE26" i="9" s="1"/>
  <c r="O38" i="9"/>
  <c r="AT22" i="9" s="1"/>
  <c r="S38" i="9"/>
  <c r="AX22" i="9" s="1"/>
  <c r="W38" i="9"/>
  <c r="BB22" i="9" s="1"/>
  <c r="P38" i="9"/>
  <c r="AU22" i="9" s="1"/>
  <c r="T38" i="9"/>
  <c r="AY22" i="9" s="1"/>
  <c r="X38" i="9"/>
  <c r="BC22" i="9" s="1"/>
  <c r="Q38" i="9"/>
  <c r="AV22" i="9" s="1"/>
  <c r="U38" i="9"/>
  <c r="AZ22" i="9" s="1"/>
  <c r="Y38" i="9"/>
  <c r="BD22" i="9" s="1"/>
  <c r="R38" i="9"/>
  <c r="AW22" i="9" s="1"/>
  <c r="V38" i="9"/>
  <c r="BA22" i="9" s="1"/>
  <c r="Z38" i="9"/>
  <c r="BE22" i="9" s="1"/>
  <c r="O34" i="9"/>
  <c r="AT18" i="9" s="1"/>
  <c r="S34" i="9"/>
  <c r="AX18" i="9" s="1"/>
  <c r="W34" i="9"/>
  <c r="BB18" i="9" s="1"/>
  <c r="P34" i="9"/>
  <c r="AU18" i="9" s="1"/>
  <c r="T34" i="9"/>
  <c r="AY18" i="9" s="1"/>
  <c r="X34" i="9"/>
  <c r="BC18" i="9" s="1"/>
  <c r="Q34" i="9"/>
  <c r="AV18" i="9" s="1"/>
  <c r="U34" i="9"/>
  <c r="AZ18" i="9" s="1"/>
  <c r="Y34" i="9"/>
  <c r="BD18" i="9" s="1"/>
  <c r="R34" i="9"/>
  <c r="AW18" i="9" s="1"/>
  <c r="V34" i="9"/>
  <c r="BA18" i="9" s="1"/>
  <c r="Z34" i="9"/>
  <c r="BE18" i="9" s="1"/>
  <c r="C41" i="9"/>
  <c r="AH25" i="9" s="1"/>
  <c r="G41" i="9"/>
  <c r="AL25" i="9" s="1"/>
  <c r="K41" i="9"/>
  <c r="AP25" i="9" s="1"/>
  <c r="O41" i="9"/>
  <c r="AT25" i="9" s="1"/>
  <c r="S41" i="9"/>
  <c r="AX25" i="9" s="1"/>
  <c r="W41" i="9"/>
  <c r="BB25" i="9" s="1"/>
  <c r="D41" i="9"/>
  <c r="AI25" i="9" s="1"/>
  <c r="H41" i="9"/>
  <c r="AM25" i="9" s="1"/>
  <c r="L41" i="9"/>
  <c r="AQ25" i="9" s="1"/>
  <c r="P41" i="9"/>
  <c r="AU25" i="9" s="1"/>
  <c r="T41" i="9"/>
  <c r="AY25" i="9" s="1"/>
  <c r="X41" i="9"/>
  <c r="BC25" i="9" s="1"/>
  <c r="E41" i="9"/>
  <c r="AJ25" i="9" s="1"/>
  <c r="I41" i="9"/>
  <c r="AN25" i="9" s="1"/>
  <c r="M41" i="9"/>
  <c r="AR25" i="9" s="1"/>
  <c r="Q41" i="9"/>
  <c r="AV25" i="9" s="1"/>
  <c r="U41" i="9"/>
  <c r="AZ25" i="9" s="1"/>
  <c r="Y41" i="9"/>
  <c r="BD25" i="9" s="1"/>
  <c r="F41" i="9"/>
  <c r="AK25" i="9" s="1"/>
  <c r="J41" i="9"/>
  <c r="AO25" i="9" s="1"/>
  <c r="N41" i="9"/>
  <c r="AS25" i="9" s="1"/>
  <c r="R41" i="9"/>
  <c r="AW25" i="9" s="1"/>
  <c r="V41" i="9"/>
  <c r="BA25" i="9" s="1"/>
  <c r="Z41" i="9"/>
  <c r="BE25" i="9" s="1"/>
  <c r="O37" i="9"/>
  <c r="AT21" i="9" s="1"/>
  <c r="S37" i="9"/>
  <c r="AX21" i="9" s="1"/>
  <c r="W37" i="9"/>
  <c r="BB21" i="9" s="1"/>
  <c r="P37" i="9"/>
  <c r="AU21" i="9" s="1"/>
  <c r="T37" i="9"/>
  <c r="AY21" i="9" s="1"/>
  <c r="X37" i="9"/>
  <c r="BC21" i="9" s="1"/>
  <c r="Q37" i="9"/>
  <c r="AV21" i="9" s="1"/>
  <c r="U37" i="9"/>
  <c r="AZ21" i="9" s="1"/>
  <c r="Y37" i="9"/>
  <c r="BD21" i="9" s="1"/>
  <c r="R37" i="9"/>
  <c r="AW21" i="9" s="1"/>
  <c r="V37" i="9"/>
  <c r="BA21" i="9" s="1"/>
  <c r="Z37" i="9"/>
  <c r="BE21" i="9" s="1"/>
  <c r="O33" i="9"/>
  <c r="AT17" i="9" s="1"/>
  <c r="S33" i="9"/>
  <c r="AX17" i="9" s="1"/>
  <c r="W33" i="9"/>
  <c r="BB17" i="9" s="1"/>
  <c r="P33" i="9"/>
  <c r="AU17" i="9" s="1"/>
  <c r="T33" i="9"/>
  <c r="AY17" i="9" s="1"/>
  <c r="X33" i="9"/>
  <c r="BC17" i="9" s="1"/>
  <c r="Q33" i="9"/>
  <c r="AV17" i="9" s="1"/>
  <c r="U33" i="9"/>
  <c r="AZ17" i="9" s="1"/>
  <c r="Y33" i="9"/>
  <c r="BD17" i="9" s="1"/>
  <c r="R33" i="9"/>
  <c r="AW17" i="9" s="1"/>
  <c r="V33" i="9"/>
  <c r="BA17" i="9" s="1"/>
  <c r="Z33" i="9"/>
  <c r="BE17" i="9" s="1"/>
  <c r="H6" i="11" l="1"/>
  <c r="G6" i="11"/>
  <c r="F6" i="11"/>
  <c r="AB16" i="9" l="1"/>
  <c r="AB17" i="9"/>
  <c r="AB18" i="9"/>
  <c r="AB19" i="9"/>
  <c r="AB20" i="9"/>
  <c r="AB21" i="9"/>
  <c r="AB22" i="9"/>
  <c r="AB23" i="9"/>
  <c r="AB24" i="9"/>
  <c r="AB25" i="9"/>
  <c r="AB26" i="9"/>
  <c r="AB15" i="9"/>
  <c r="AB27" i="9" l="1"/>
  <c r="AG3" i="9" s="1"/>
  <c r="BL3" i="9" s="1"/>
  <c r="AJ3" i="9" l="1"/>
  <c r="AD16" i="9" l="1"/>
  <c r="AC16" i="9" s="1"/>
  <c r="AD17" i="9"/>
  <c r="AC17" i="9" s="1"/>
  <c r="AD18" i="9"/>
  <c r="AC18" i="9" s="1"/>
  <c r="AD19" i="9"/>
  <c r="AC19" i="9" s="1"/>
  <c r="AD20" i="9"/>
  <c r="AC20" i="9" s="1"/>
  <c r="AD21" i="9"/>
  <c r="AC21" i="9" s="1"/>
  <c r="AD22" i="9"/>
  <c r="AC22" i="9" s="1"/>
  <c r="AD23" i="9"/>
  <c r="AC23" i="9" s="1"/>
  <c r="AD24" i="9"/>
  <c r="AC24" i="9" s="1"/>
  <c r="AD25" i="9"/>
  <c r="AC25" i="9" s="1"/>
  <c r="AD26" i="9"/>
  <c r="AC26" i="9" s="1"/>
  <c r="AD15" i="9"/>
  <c r="AC15" i="9" s="1"/>
  <c r="BC33" i="9"/>
  <c r="AL34" i="9"/>
  <c r="AP34" i="9"/>
  <c r="AT34" i="9"/>
  <c r="AU34" i="9"/>
  <c r="BB34" i="9"/>
  <c r="AH35" i="9"/>
  <c r="AM35" i="9"/>
  <c r="AT35" i="9"/>
  <c r="AX35" i="9"/>
  <c r="BC35" i="9"/>
  <c r="AL36" i="9"/>
  <c r="AP36" i="9"/>
  <c r="AT36" i="9"/>
  <c r="AU36" i="9"/>
  <c r="BB36" i="9"/>
  <c r="AH37" i="9"/>
  <c r="AL37" i="9"/>
  <c r="AM37" i="9"/>
  <c r="AT37" i="9"/>
  <c r="AX37" i="9"/>
  <c r="BC37" i="9"/>
  <c r="AL38" i="9"/>
  <c r="AP38" i="9"/>
  <c r="AU38" i="9"/>
  <c r="BB38" i="9"/>
  <c r="AH39" i="9"/>
  <c r="AL39" i="9"/>
  <c r="AM39" i="9"/>
  <c r="AT39" i="9"/>
  <c r="AX39" i="9"/>
  <c r="BB39" i="9"/>
  <c r="BC39" i="9"/>
  <c r="AL40" i="9"/>
  <c r="AP40" i="9"/>
  <c r="AU40" i="9"/>
  <c r="BB40" i="9"/>
  <c r="AH41" i="9"/>
  <c r="AM41" i="9"/>
  <c r="AT41" i="9"/>
  <c r="AX41" i="9"/>
  <c r="BB41" i="9"/>
  <c r="BC41" i="9"/>
  <c r="AL42" i="9"/>
  <c r="AP42" i="9"/>
  <c r="AT42" i="9"/>
  <c r="AU42" i="9"/>
  <c r="BB42" i="9"/>
  <c r="AI31" i="9"/>
  <c r="AN31" i="9"/>
  <c r="AU31" i="9"/>
  <c r="AY31" i="9"/>
  <c r="BD31" i="9"/>
  <c r="AX74" i="9" l="1"/>
  <c r="AX70" i="9"/>
  <c r="AT70" i="9"/>
  <c r="AH70" i="9"/>
  <c r="AX68" i="9"/>
  <c r="AH68" i="9"/>
  <c r="BB67" i="9"/>
  <c r="AP67" i="9"/>
  <c r="AL67" i="9"/>
  <c r="AX66" i="9"/>
  <c r="BB65" i="9"/>
  <c r="AX65" i="9"/>
  <c r="AT65" i="9"/>
  <c r="AP65" i="9"/>
  <c r="AL65" i="9"/>
  <c r="AH65" i="9"/>
  <c r="BB64" i="9"/>
  <c r="AX64" i="9"/>
  <c r="AT64" i="9"/>
  <c r="AM63" i="9"/>
  <c r="AL73" i="9"/>
  <c r="AX72" i="9"/>
  <c r="AT72" i="9"/>
  <c r="AP71" i="9"/>
  <c r="BB69" i="9"/>
  <c r="AP69" i="9"/>
  <c r="AL63" i="9"/>
  <c r="BE74" i="9"/>
  <c r="BE73" i="9"/>
  <c r="AS73" i="9"/>
  <c r="BE72" i="9"/>
  <c r="AS72" i="9"/>
  <c r="AW71" i="9"/>
  <c r="BE70" i="9"/>
  <c r="BA70" i="9"/>
  <c r="AS70" i="9"/>
  <c r="AK70" i="9"/>
  <c r="BA69" i="9"/>
  <c r="AW69" i="9"/>
  <c r="AK69" i="9"/>
  <c r="BE68" i="9"/>
  <c r="BA68" i="9"/>
  <c r="AS68" i="9"/>
  <c r="BE67" i="9"/>
  <c r="BA67" i="9"/>
  <c r="AS67" i="9"/>
  <c r="AK67" i="9"/>
  <c r="BA66" i="9"/>
  <c r="AW66" i="9"/>
  <c r="AK66" i="9"/>
  <c r="BA65" i="9"/>
  <c r="AW65" i="9"/>
  <c r="AK65" i="9"/>
  <c r="BA64" i="9"/>
  <c r="AW64" i="9"/>
  <c r="AM65" i="9"/>
  <c r="BC63" i="9"/>
  <c r="AQ63" i="9"/>
  <c r="AH74" i="9"/>
  <c r="AP73" i="9"/>
  <c r="AH72" i="9"/>
  <c r="BB63" i="9"/>
  <c r="AT63" i="9"/>
  <c r="BA74" i="9"/>
  <c r="AS74" i="9"/>
  <c r="BA73" i="9"/>
  <c r="AK73" i="9"/>
  <c r="AW72" i="9"/>
  <c r="AK72" i="9"/>
  <c r="BA71" i="9"/>
  <c r="AK71" i="9"/>
  <c r="AN64" i="9"/>
  <c r="AC27" i="9"/>
  <c r="AH3" i="9" s="1"/>
  <c r="AD27" i="9"/>
  <c r="AB38" i="9"/>
  <c r="AB36" i="9"/>
  <c r="AB35" i="9"/>
  <c r="AB34" i="9"/>
  <c r="AB33" i="9"/>
  <c r="AB32" i="9"/>
  <c r="AB42" i="9"/>
  <c r="AB41" i="9"/>
  <c r="AB40" i="9"/>
  <c r="AB39" i="9"/>
  <c r="AB37" i="9"/>
  <c r="AB31" i="9"/>
  <c r="AT38" i="9"/>
  <c r="BB35" i="9"/>
  <c r="BC31" i="9"/>
  <c r="BC47" i="9" s="1"/>
  <c r="AL41" i="9"/>
  <c r="AU58" i="9"/>
  <c r="AM31" i="9"/>
  <c r="AM47" i="9" s="1"/>
  <c r="AT40" i="9"/>
  <c r="AT56" i="9" s="1"/>
  <c r="BB37" i="9"/>
  <c r="AL35" i="9"/>
  <c r="BC55" i="9"/>
  <c r="AM53" i="9"/>
  <c r="AM33" i="9"/>
  <c r="AU50" i="9"/>
  <c r="AX31" i="9"/>
  <c r="AX47" i="9" s="1"/>
  <c r="AP31" i="9"/>
  <c r="AP47" i="9" s="1"/>
  <c r="AW42" i="9"/>
  <c r="AK42" i="9"/>
  <c r="AK58" i="9" s="1"/>
  <c r="AW41" i="9"/>
  <c r="AW57" i="9" s="1"/>
  <c r="AO41" i="9"/>
  <c r="BA40" i="9"/>
  <c r="BE39" i="9"/>
  <c r="BE55" i="9" s="1"/>
  <c r="AS39" i="9"/>
  <c r="AW38" i="9"/>
  <c r="BE37" i="9"/>
  <c r="BE53" i="9" s="1"/>
  <c r="AS37" i="9"/>
  <c r="AS53" i="9" s="1"/>
  <c r="AW36" i="9"/>
  <c r="AK36" i="9"/>
  <c r="AW35" i="9"/>
  <c r="BE34" i="9"/>
  <c r="BE50" i="9" s="1"/>
  <c r="AS34" i="9"/>
  <c r="AS50" i="9" s="1"/>
  <c r="BE33" i="9"/>
  <c r="BE49" i="9" s="1"/>
  <c r="AS33" i="9"/>
  <c r="BE32" i="9"/>
  <c r="BE48" i="9" s="1"/>
  <c r="AS32" i="9"/>
  <c r="AS48" i="9" s="1"/>
  <c r="AK32" i="9"/>
  <c r="AK48" i="9" s="1"/>
  <c r="BE31" i="9"/>
  <c r="BE47" i="9" s="1"/>
  <c r="BA31" i="9"/>
  <c r="BA47" i="9" s="1"/>
  <c r="AW31" i="9"/>
  <c r="AW47" i="9" s="1"/>
  <c r="AS31" i="9"/>
  <c r="AS47" i="9" s="1"/>
  <c r="AO31" i="9"/>
  <c r="AK31" i="9"/>
  <c r="AK47" i="9" s="1"/>
  <c r="BD42" i="9"/>
  <c r="AZ42" i="9"/>
  <c r="AV42" i="9"/>
  <c r="AR42" i="9"/>
  <c r="AN42" i="9"/>
  <c r="AJ42" i="9"/>
  <c r="BD41" i="9"/>
  <c r="AZ41" i="9"/>
  <c r="AV41" i="9"/>
  <c r="AR41" i="9"/>
  <c r="AN41" i="9"/>
  <c r="AJ41" i="9"/>
  <c r="BD40" i="9"/>
  <c r="AZ40" i="9"/>
  <c r="AV40" i="9"/>
  <c r="AR40" i="9"/>
  <c r="AN40" i="9"/>
  <c r="AJ40" i="9"/>
  <c r="BD39" i="9"/>
  <c r="AZ39" i="9"/>
  <c r="AV39" i="9"/>
  <c r="AR39" i="9"/>
  <c r="AN39" i="9"/>
  <c r="AJ39" i="9"/>
  <c r="BD38" i="9"/>
  <c r="AZ38" i="9"/>
  <c r="AV38" i="9"/>
  <c r="AR38" i="9"/>
  <c r="AN38" i="9"/>
  <c r="AJ38" i="9"/>
  <c r="BD37" i="9"/>
  <c r="AZ37" i="9"/>
  <c r="AV37" i="9"/>
  <c r="AR37" i="9"/>
  <c r="AN37" i="9"/>
  <c r="AJ37" i="9"/>
  <c r="BD36" i="9"/>
  <c r="AZ36" i="9"/>
  <c r="AV36" i="9"/>
  <c r="AR36" i="9"/>
  <c r="AN36" i="9"/>
  <c r="AJ36" i="9"/>
  <c r="BD35" i="9"/>
  <c r="AZ35" i="9"/>
  <c r="AV35" i="9"/>
  <c r="AR35" i="9"/>
  <c r="AN35" i="9"/>
  <c r="AJ35" i="9"/>
  <c r="BD34" i="9"/>
  <c r="AZ34" i="9"/>
  <c r="AV34" i="9"/>
  <c r="AR34" i="9"/>
  <c r="AN34" i="9"/>
  <c r="AJ34" i="9"/>
  <c r="BD33" i="9"/>
  <c r="AZ33" i="9"/>
  <c r="AV33" i="9"/>
  <c r="AR33" i="9"/>
  <c r="AN33" i="9"/>
  <c r="AJ33" i="9"/>
  <c r="BD32" i="9"/>
  <c r="AZ32" i="9"/>
  <c r="AV32" i="9"/>
  <c r="AR32" i="9"/>
  <c r="AN32" i="9"/>
  <c r="AJ32" i="9"/>
  <c r="AU32" i="9"/>
  <c r="BC57" i="9"/>
  <c r="AM55" i="9"/>
  <c r="AU52" i="9"/>
  <c r="BC49" i="9"/>
  <c r="BB31" i="9"/>
  <c r="BB47" i="9" s="1"/>
  <c r="AL31" i="9"/>
  <c r="AL47" i="9" s="1"/>
  <c r="BA42" i="9"/>
  <c r="BA58" i="9" s="1"/>
  <c r="AO42" i="9"/>
  <c r="BE41" i="9"/>
  <c r="AS41" i="9"/>
  <c r="AS57" i="9" s="1"/>
  <c r="AK41" i="9"/>
  <c r="AK57" i="9" s="1"/>
  <c r="AW40" i="9"/>
  <c r="AK40" i="9"/>
  <c r="AK56" i="9" s="1"/>
  <c r="BA39" i="9"/>
  <c r="BA55" i="9" s="1"/>
  <c r="AO39" i="9"/>
  <c r="BE38" i="9"/>
  <c r="AO38" i="9"/>
  <c r="BA37" i="9"/>
  <c r="BA53" i="9" s="1"/>
  <c r="AO37" i="9"/>
  <c r="BE36" i="9"/>
  <c r="BE52" i="9" s="1"/>
  <c r="AO36" i="9"/>
  <c r="BE35" i="9"/>
  <c r="AS35" i="9"/>
  <c r="AO35" i="9"/>
  <c r="AW34" i="9"/>
  <c r="AW50" i="9" s="1"/>
  <c r="AK34" i="9"/>
  <c r="AW33" i="9"/>
  <c r="AO33" i="9"/>
  <c r="BA32" i="9"/>
  <c r="BA48" i="9" s="1"/>
  <c r="AW32" i="9"/>
  <c r="AW48" i="9" s="1"/>
  <c r="AO32" i="9"/>
  <c r="AZ31" i="9"/>
  <c r="AZ47" i="9" s="1"/>
  <c r="AV31" i="9"/>
  <c r="AV47" i="9" s="1"/>
  <c r="AR31" i="9"/>
  <c r="AR47" i="9" s="1"/>
  <c r="AJ31" i="9"/>
  <c r="AJ47" i="9" s="1"/>
  <c r="BC42" i="9"/>
  <c r="AY42" i="9"/>
  <c r="AQ42" i="9"/>
  <c r="AM42" i="9"/>
  <c r="AI42" i="9"/>
  <c r="AY41" i="9"/>
  <c r="AU41" i="9"/>
  <c r="AQ41" i="9"/>
  <c r="AI41" i="9"/>
  <c r="BC40" i="9"/>
  <c r="AY40" i="9"/>
  <c r="AQ40" i="9"/>
  <c r="AM40" i="9"/>
  <c r="AI40" i="9"/>
  <c r="AY39" i="9"/>
  <c r="AU39" i="9"/>
  <c r="AQ39" i="9"/>
  <c r="AI39" i="9"/>
  <c r="BC38" i="9"/>
  <c r="AY38" i="9"/>
  <c r="AQ38" i="9"/>
  <c r="AM38" i="9"/>
  <c r="AI38" i="9"/>
  <c r="AY37" i="9"/>
  <c r="AU37" i="9"/>
  <c r="AQ37" i="9"/>
  <c r="AI37" i="9"/>
  <c r="BC36" i="9"/>
  <c r="AY36" i="9"/>
  <c r="AQ36" i="9"/>
  <c r="AM36" i="9"/>
  <c r="AI36" i="9"/>
  <c r="AY35" i="9"/>
  <c r="AU35" i="9"/>
  <c r="AQ35" i="9"/>
  <c r="AI35" i="9"/>
  <c r="BC34" i="9"/>
  <c r="AY34" i="9"/>
  <c r="AQ34" i="9"/>
  <c r="AM34" i="9"/>
  <c r="AI34" i="9"/>
  <c r="AY33" i="9"/>
  <c r="AU33" i="9"/>
  <c r="AQ33" i="9"/>
  <c r="AI33" i="9"/>
  <c r="BC32" i="9"/>
  <c r="AY32" i="9"/>
  <c r="AQ32" i="9"/>
  <c r="AM32" i="9"/>
  <c r="AI32" i="9"/>
  <c r="BD47" i="9"/>
  <c r="AM57" i="9"/>
  <c r="AU54" i="9"/>
  <c r="BC51" i="9"/>
  <c r="AT31" i="9"/>
  <c r="AT47" i="9" s="1"/>
  <c r="BE42" i="9"/>
  <c r="BE58" i="9" s="1"/>
  <c r="AS42" i="9"/>
  <c r="AS58" i="9" s="1"/>
  <c r="BA41" i="9"/>
  <c r="BA57" i="9" s="1"/>
  <c r="BE40" i="9"/>
  <c r="BE56" i="9" s="1"/>
  <c r="AS40" i="9"/>
  <c r="AO40" i="9"/>
  <c r="AW39" i="9"/>
  <c r="AW55" i="9" s="1"/>
  <c r="AK39" i="9"/>
  <c r="BA38" i="9"/>
  <c r="AS38" i="9"/>
  <c r="AK38" i="9"/>
  <c r="AK54" i="9" s="1"/>
  <c r="AW37" i="9"/>
  <c r="AW53" i="9" s="1"/>
  <c r="AK37" i="9"/>
  <c r="BA36" i="9"/>
  <c r="BA52" i="9" s="1"/>
  <c r="AS36" i="9"/>
  <c r="BA35" i="9"/>
  <c r="AK35" i="9"/>
  <c r="BA34" i="9"/>
  <c r="BA50" i="9" s="1"/>
  <c r="AO34" i="9"/>
  <c r="BA33" i="9"/>
  <c r="BA49" i="9" s="1"/>
  <c r="AK33" i="9"/>
  <c r="AY47" i="9"/>
  <c r="AU47" i="9"/>
  <c r="AI47" i="9"/>
  <c r="BB58" i="9"/>
  <c r="AT58" i="9"/>
  <c r="AP58" i="9"/>
  <c r="AL58" i="9"/>
  <c r="BB57" i="9"/>
  <c r="AX57" i="9"/>
  <c r="AT57" i="9"/>
  <c r="AH57" i="9"/>
  <c r="BB56" i="9"/>
  <c r="AP56" i="9"/>
  <c r="AL56" i="9"/>
  <c r="BB55" i="9"/>
  <c r="AX55" i="9"/>
  <c r="AT55" i="9"/>
  <c r="AL55" i="9"/>
  <c r="AH55" i="9"/>
  <c r="BB54" i="9"/>
  <c r="AP54" i="9"/>
  <c r="AL54" i="9"/>
  <c r="AX53" i="9"/>
  <c r="AT53" i="9"/>
  <c r="AL53" i="9"/>
  <c r="AH53" i="9"/>
  <c r="BB52" i="9"/>
  <c r="AT52" i="9"/>
  <c r="AP52" i="9"/>
  <c r="AL52" i="9"/>
  <c r="AX51" i="9"/>
  <c r="AT51" i="9"/>
  <c r="AH51" i="9"/>
  <c r="BB50" i="9"/>
  <c r="AT50" i="9"/>
  <c r="AP50" i="9"/>
  <c r="AL50" i="9"/>
  <c r="AH34" i="9"/>
  <c r="BB33" i="9"/>
  <c r="AX33" i="9"/>
  <c r="AT33" i="9"/>
  <c r="AP33" i="9"/>
  <c r="AL33" i="9"/>
  <c r="AH33" i="9"/>
  <c r="BB32" i="9"/>
  <c r="AX32" i="9"/>
  <c r="AT32" i="9"/>
  <c r="AP32" i="9"/>
  <c r="AL32" i="9"/>
  <c r="AH32" i="9"/>
  <c r="AQ31" i="9"/>
  <c r="AQ47" i="9" s="1"/>
  <c r="AX42" i="9"/>
  <c r="AH42" i="9"/>
  <c r="AP41" i="9"/>
  <c r="AX40" i="9"/>
  <c r="AH40" i="9"/>
  <c r="AP39" i="9"/>
  <c r="AX38" i="9"/>
  <c r="AH38" i="9"/>
  <c r="AP37" i="9"/>
  <c r="AX36" i="9"/>
  <c r="AH36" i="9"/>
  <c r="AP35" i="9"/>
  <c r="AX34" i="9"/>
  <c r="AN47" i="9"/>
  <c r="AU56" i="9"/>
  <c r="BC53" i="9"/>
  <c r="AM51" i="9"/>
  <c r="AD32" i="9"/>
  <c r="AD41" i="9"/>
  <c r="AD37" i="9"/>
  <c r="AD35" i="9"/>
  <c r="AD33" i="9"/>
  <c r="AD40" i="9"/>
  <c r="AD36" i="9"/>
  <c r="AD42" i="9"/>
  <c r="AD39" i="9"/>
  <c r="AD38" i="9"/>
  <c r="AD34" i="9"/>
  <c r="BM3" i="9" l="1"/>
  <c r="AK3" i="9"/>
  <c r="BZ24" i="9"/>
  <c r="AU104" i="9"/>
  <c r="CG18" i="9"/>
  <c r="BB98" i="9"/>
  <c r="BQ22" i="9"/>
  <c r="AL102" i="9"/>
  <c r="BY25" i="9"/>
  <c r="AT105" i="9"/>
  <c r="CB23" i="9"/>
  <c r="AW103" i="9"/>
  <c r="CH19" i="9"/>
  <c r="BC99" i="9"/>
  <c r="CB18" i="9"/>
  <c r="AW98" i="9"/>
  <c r="BP24" i="9"/>
  <c r="AK104" i="9"/>
  <c r="CJ16" i="9"/>
  <c r="BE96" i="9"/>
  <c r="BP26" i="9"/>
  <c r="AK106" i="9"/>
  <c r="BS15" i="9"/>
  <c r="AN95" i="9"/>
  <c r="BQ18" i="9"/>
  <c r="AL98" i="9"/>
  <c r="BM19" i="9"/>
  <c r="AH99" i="9"/>
  <c r="BU20" i="9"/>
  <c r="AP100" i="9"/>
  <c r="BQ21" i="9"/>
  <c r="AL101" i="9"/>
  <c r="BU22" i="9"/>
  <c r="AP102" i="9"/>
  <c r="BY23" i="9"/>
  <c r="AT103" i="9"/>
  <c r="BU24" i="9"/>
  <c r="AP104" i="9"/>
  <c r="CC25" i="9"/>
  <c r="AX105" i="9"/>
  <c r="BY26" i="9"/>
  <c r="AT106" i="9"/>
  <c r="CD15" i="9"/>
  <c r="AY95" i="9"/>
  <c r="CF18" i="9"/>
  <c r="BA98" i="9"/>
  <c r="CF20" i="9"/>
  <c r="BA100" i="9"/>
  <c r="BX26" i="9"/>
  <c r="AS106" i="9"/>
  <c r="BZ22" i="9"/>
  <c r="AU102" i="9"/>
  <c r="CE15" i="9"/>
  <c r="AZ95" i="9"/>
  <c r="CJ20" i="9"/>
  <c r="BE100" i="9"/>
  <c r="CH17" i="9"/>
  <c r="BC97" i="9"/>
  <c r="CJ15" i="9"/>
  <c r="BE95" i="9"/>
  <c r="CJ21" i="9"/>
  <c r="BE101" i="9"/>
  <c r="BM21" i="9"/>
  <c r="AH101" i="9"/>
  <c r="BQ24" i="9"/>
  <c r="AL104" i="9"/>
  <c r="BZ15" i="9"/>
  <c r="AU95" i="9"/>
  <c r="CF25" i="9"/>
  <c r="BA105" i="9"/>
  <c r="CA15" i="9"/>
  <c r="AV95" i="9"/>
  <c r="CG15" i="9"/>
  <c r="BB95" i="9"/>
  <c r="CF15" i="9"/>
  <c r="BA95" i="9"/>
  <c r="BX21" i="9"/>
  <c r="AS101" i="9"/>
  <c r="BZ26" i="9"/>
  <c r="AU106" i="9"/>
  <c r="BR19" i="9"/>
  <c r="AM99" i="9"/>
  <c r="BU18" i="9"/>
  <c r="AP98" i="9"/>
  <c r="BY19" i="9"/>
  <c r="AT99" i="9"/>
  <c r="BY20" i="9"/>
  <c r="AT100" i="9"/>
  <c r="BY21" i="9"/>
  <c r="AT101" i="9"/>
  <c r="CG22" i="9"/>
  <c r="BB102" i="9"/>
  <c r="CC23" i="9"/>
  <c r="AX103" i="9"/>
  <c r="CG24" i="9"/>
  <c r="BB104" i="9"/>
  <c r="CG25" i="9"/>
  <c r="BB105" i="9"/>
  <c r="CG26" i="9"/>
  <c r="BB106" i="9"/>
  <c r="CJ26" i="9"/>
  <c r="BE106" i="9"/>
  <c r="BR25" i="9"/>
  <c r="AM105" i="9"/>
  <c r="BO15" i="9"/>
  <c r="AJ95" i="9"/>
  <c r="BP25" i="9"/>
  <c r="AK105" i="9"/>
  <c r="CF26" i="9"/>
  <c r="BA106" i="9"/>
  <c r="BZ20" i="9"/>
  <c r="AU100" i="9"/>
  <c r="BX15" i="9"/>
  <c r="AS95" i="9"/>
  <c r="BP16" i="9"/>
  <c r="AK96" i="9"/>
  <c r="CJ17" i="9"/>
  <c r="BE97" i="9"/>
  <c r="BU15" i="9"/>
  <c r="AP95" i="9"/>
  <c r="BR21" i="9"/>
  <c r="AM101" i="9"/>
  <c r="BY24" i="9"/>
  <c r="AT104" i="9"/>
  <c r="CH15" i="9"/>
  <c r="BC95" i="9"/>
  <c r="BQ20" i="9"/>
  <c r="AL100" i="9"/>
  <c r="BQ23" i="9"/>
  <c r="AL103" i="9"/>
  <c r="BU26" i="9"/>
  <c r="AP106" i="9"/>
  <c r="BP22" i="9"/>
  <c r="AK102" i="9"/>
  <c r="CF16" i="9"/>
  <c r="BA96" i="9"/>
  <c r="CH25" i="9"/>
  <c r="BC105" i="9"/>
  <c r="BP15" i="9"/>
  <c r="AK95" i="9"/>
  <c r="CJ18" i="9"/>
  <c r="BE98" i="9"/>
  <c r="CJ23" i="9"/>
  <c r="BE103" i="9"/>
  <c r="BZ18" i="9"/>
  <c r="AU98" i="9"/>
  <c r="CH21" i="9"/>
  <c r="BC101" i="9"/>
  <c r="BV15" i="9"/>
  <c r="AQ95" i="9"/>
  <c r="BY18" i="9"/>
  <c r="AT98" i="9"/>
  <c r="CC19" i="9"/>
  <c r="AX99" i="9"/>
  <c r="CG20" i="9"/>
  <c r="BB100" i="9"/>
  <c r="CC21" i="9"/>
  <c r="AX101" i="9"/>
  <c r="BM23" i="9"/>
  <c r="AH103" i="9"/>
  <c r="CG23" i="9"/>
  <c r="BB103" i="9"/>
  <c r="BM25" i="9"/>
  <c r="AH105" i="9"/>
  <c r="BQ26" i="9"/>
  <c r="AL106" i="9"/>
  <c r="BN15" i="9"/>
  <c r="AI95" i="9"/>
  <c r="CF17" i="9"/>
  <c r="BA97" i="9"/>
  <c r="CB21" i="9"/>
  <c r="AW101" i="9"/>
  <c r="CJ24" i="9"/>
  <c r="BE104" i="9"/>
  <c r="BY15" i="9"/>
  <c r="AT95" i="9"/>
  <c r="CI15" i="9"/>
  <c r="BD95" i="9"/>
  <c r="BW15" i="9"/>
  <c r="AR95" i="9"/>
  <c r="CB16" i="9"/>
  <c r="AW96" i="9"/>
  <c r="CF21" i="9"/>
  <c r="BA101" i="9"/>
  <c r="CF23" i="9"/>
  <c r="BA103" i="9"/>
  <c r="BX25" i="9"/>
  <c r="AS105" i="9"/>
  <c r="BQ15" i="9"/>
  <c r="AL95" i="9"/>
  <c r="BR23" i="9"/>
  <c r="AM103" i="9"/>
  <c r="CB15" i="9"/>
  <c r="AW95" i="9"/>
  <c r="BX16" i="9"/>
  <c r="AS96" i="9"/>
  <c r="BX18" i="9"/>
  <c r="AS98" i="9"/>
  <c r="CB25" i="9"/>
  <c r="AW105" i="9"/>
  <c r="CC15" i="9"/>
  <c r="AX95" i="9"/>
  <c r="CH23" i="9"/>
  <c r="BC103" i="9"/>
  <c r="BR15" i="9"/>
  <c r="AM95" i="9"/>
  <c r="AC32" i="9"/>
  <c r="AC42" i="9"/>
  <c r="AX52" i="9"/>
  <c r="AU64" i="9"/>
  <c r="AY66" i="9"/>
  <c r="AY68" i="9"/>
  <c r="AI70" i="9"/>
  <c r="AI72" i="9"/>
  <c r="AQ73" i="9"/>
  <c r="AR63" i="9"/>
  <c r="AT49" i="9"/>
  <c r="BA51" i="9"/>
  <c r="AV65" i="9"/>
  <c r="BD66" i="9"/>
  <c r="BD68" i="9"/>
  <c r="AN70" i="9"/>
  <c r="AN72" i="9"/>
  <c r="AN74" i="9"/>
  <c r="AI48" i="9"/>
  <c r="AQ50" i="9"/>
  <c r="AI53" i="9"/>
  <c r="AY55" i="9"/>
  <c r="AS51" i="9"/>
  <c r="AK68" i="9"/>
  <c r="AP63" i="9"/>
  <c r="AZ49" i="9"/>
  <c r="AR52" i="9"/>
  <c r="AZ53" i="9"/>
  <c r="AR56" i="9"/>
  <c r="AR58" i="9"/>
  <c r="AW52" i="9"/>
  <c r="AX69" i="9"/>
  <c r="AI63" i="9"/>
  <c r="AL57" i="9"/>
  <c r="BB72" i="9"/>
  <c r="AO74" i="9"/>
  <c r="AH58" i="9"/>
  <c r="AQ67" i="9"/>
  <c r="AY70" i="9"/>
  <c r="AI74" i="9"/>
  <c r="BB48" i="9"/>
  <c r="BD64" i="9"/>
  <c r="AN68" i="9"/>
  <c r="BD70" i="9"/>
  <c r="AV73" i="9"/>
  <c r="AW63" i="9"/>
  <c r="AU49" i="9"/>
  <c r="AM52" i="9"/>
  <c r="BC54" i="9"/>
  <c r="AU57" i="9"/>
  <c r="AW49" i="9"/>
  <c r="BE65" i="9"/>
  <c r="AO73" i="9"/>
  <c r="AJ49" i="9"/>
  <c r="AJ51" i="9"/>
  <c r="AJ53" i="9"/>
  <c r="AJ55" i="9"/>
  <c r="AJ57" i="9"/>
  <c r="AS55" i="9"/>
  <c r="BB73" i="9"/>
  <c r="AX50" i="9"/>
  <c r="AP53" i="9"/>
  <c r="AH56" i="9"/>
  <c r="AX58" i="9"/>
  <c r="AY64" i="9"/>
  <c r="AU65" i="9"/>
  <c r="AM66" i="9"/>
  <c r="BC66" i="9"/>
  <c r="AU67" i="9"/>
  <c r="AM68" i="9"/>
  <c r="BC68" i="9"/>
  <c r="AU69" i="9"/>
  <c r="AM70" i="9"/>
  <c r="BC70" i="9"/>
  <c r="AU71" i="9"/>
  <c r="AM72" i="9"/>
  <c r="BC72" i="9"/>
  <c r="AU73" i="9"/>
  <c r="AM74" i="9"/>
  <c r="BC74" i="9"/>
  <c r="AV63" i="9"/>
  <c r="AH48" i="9"/>
  <c r="AP48" i="9"/>
  <c r="AH49" i="9"/>
  <c r="AX49" i="9"/>
  <c r="AS52" i="9"/>
  <c r="AR64" i="9"/>
  <c r="AJ65" i="9"/>
  <c r="AZ65" i="9"/>
  <c r="AR66" i="9"/>
  <c r="AJ67" i="9"/>
  <c r="AZ67" i="9"/>
  <c r="AR68" i="9"/>
  <c r="AJ69" i="9"/>
  <c r="AZ69" i="9"/>
  <c r="AR70" i="9"/>
  <c r="AJ71" i="9"/>
  <c r="AZ71" i="9"/>
  <c r="AR72" i="9"/>
  <c r="AJ73" i="9"/>
  <c r="AZ73" i="9"/>
  <c r="AR74" i="9"/>
  <c r="AK63" i="9"/>
  <c r="BA63" i="9"/>
  <c r="AM64" i="9"/>
  <c r="BC48" i="9"/>
  <c r="AY49" i="9"/>
  <c r="AY50" i="9"/>
  <c r="AU51" i="9"/>
  <c r="AQ52" i="9"/>
  <c r="AQ53" i="9"/>
  <c r="AM54" i="9"/>
  <c r="AI55" i="9"/>
  <c r="AI56" i="9"/>
  <c r="BC56" i="9"/>
  <c r="AY57" i="9"/>
  <c r="AY58" i="9"/>
  <c r="BE51" i="9"/>
  <c r="AS64" i="9"/>
  <c r="AS66" i="9"/>
  <c r="AW68" i="9"/>
  <c r="AS71" i="9"/>
  <c r="AW73" i="9"/>
  <c r="AX63" i="9"/>
  <c r="AV48" i="9"/>
  <c r="AN49" i="9"/>
  <c r="BD49" i="9"/>
  <c r="AV50" i="9"/>
  <c r="AN51" i="9"/>
  <c r="BD51" i="9"/>
  <c r="AV52" i="9"/>
  <c r="AN53" i="9"/>
  <c r="BD53" i="9"/>
  <c r="AV54" i="9"/>
  <c r="AN55" i="9"/>
  <c r="BD55" i="9"/>
  <c r="AV56" i="9"/>
  <c r="AN57" i="9"/>
  <c r="BD57" i="9"/>
  <c r="AV58" i="9"/>
  <c r="AX67" i="9"/>
  <c r="AP70" i="9"/>
  <c r="AH73" i="9"/>
  <c r="AY63" i="9"/>
  <c r="AL69" i="9"/>
  <c r="AT74" i="9"/>
  <c r="AU63" i="9"/>
  <c r="AL68" i="9"/>
  <c r="BB68" i="9"/>
  <c r="AT69" i="9"/>
  <c r="AO69" i="9"/>
  <c r="AO72" i="9"/>
  <c r="AO66" i="9"/>
  <c r="AO68" i="9"/>
  <c r="AI3" i="9"/>
  <c r="J6" i="11" s="1"/>
  <c r="AP55" i="9"/>
  <c r="AQ65" i="9"/>
  <c r="AI68" i="9"/>
  <c r="AQ69" i="9"/>
  <c r="AQ71" i="9"/>
  <c r="AY72" i="9"/>
  <c r="AY74" i="9"/>
  <c r="AH64" i="9"/>
  <c r="AP64" i="9"/>
  <c r="AN66" i="9"/>
  <c r="AV67" i="9"/>
  <c r="AV69" i="9"/>
  <c r="AV71" i="9"/>
  <c r="BD72" i="9"/>
  <c r="BD74" i="9"/>
  <c r="AY48" i="9"/>
  <c r="AQ51" i="9"/>
  <c r="AI54" i="9"/>
  <c r="AY56" i="9"/>
  <c r="AQ58" i="9"/>
  <c r="AJ64" i="9"/>
  <c r="AW70" i="9"/>
  <c r="AR48" i="9"/>
  <c r="AR50" i="9"/>
  <c r="AZ51" i="9"/>
  <c r="AR54" i="9"/>
  <c r="AZ55" i="9"/>
  <c r="AZ57" i="9"/>
  <c r="AH67" i="9"/>
  <c r="AP72" i="9"/>
  <c r="AT68" i="9"/>
  <c r="BB53" i="9"/>
  <c r="BB74" i="9"/>
  <c r="AL66" i="9"/>
  <c r="BB66" i="9"/>
  <c r="AP51" i="9"/>
  <c r="AH54" i="9"/>
  <c r="AX56" i="9"/>
  <c r="BC64" i="9"/>
  <c r="AY65" i="9"/>
  <c r="AQ66" i="9"/>
  <c r="AI67" i="9"/>
  <c r="AY67" i="9"/>
  <c r="AQ68" i="9"/>
  <c r="AI69" i="9"/>
  <c r="AY69" i="9"/>
  <c r="AQ70" i="9"/>
  <c r="AI71" i="9"/>
  <c r="AY71" i="9"/>
  <c r="AQ72" i="9"/>
  <c r="AI73" i="9"/>
  <c r="AY73" i="9"/>
  <c r="AQ74" i="9"/>
  <c r="AJ63" i="9"/>
  <c r="AZ63" i="9"/>
  <c r="AL64" i="9"/>
  <c r="AT48" i="9"/>
  <c r="AL49" i="9"/>
  <c r="BB49" i="9"/>
  <c r="AS54" i="9"/>
  <c r="AV64" i="9"/>
  <c r="AN65" i="9"/>
  <c r="BD65" i="9"/>
  <c r="AV66" i="9"/>
  <c r="AN67" i="9"/>
  <c r="BD67" i="9"/>
  <c r="AV68" i="9"/>
  <c r="AN69" i="9"/>
  <c r="BD69" i="9"/>
  <c r="AV70" i="9"/>
  <c r="AN71" i="9"/>
  <c r="BD71" i="9"/>
  <c r="AV72" i="9"/>
  <c r="AN73" i="9"/>
  <c r="BD73" i="9"/>
  <c r="AV74" i="9"/>
  <c r="AO63" i="9"/>
  <c r="BE63" i="9"/>
  <c r="AM48" i="9"/>
  <c r="AI49" i="9"/>
  <c r="AI50" i="9"/>
  <c r="BC50" i="9"/>
  <c r="AY51" i="9"/>
  <c r="AY52" i="9"/>
  <c r="AU53" i="9"/>
  <c r="AQ54" i="9"/>
  <c r="AQ55" i="9"/>
  <c r="AM56" i="9"/>
  <c r="AI57" i="9"/>
  <c r="AI58" i="9"/>
  <c r="BC58" i="9"/>
  <c r="BE57" i="9"/>
  <c r="BE64" i="9"/>
  <c r="BE66" i="9"/>
  <c r="AS69" i="9"/>
  <c r="BE71" i="9"/>
  <c r="AK74" i="9"/>
  <c r="AJ48" i="9"/>
  <c r="AZ48" i="9"/>
  <c r="AR49" i="9"/>
  <c r="AJ50" i="9"/>
  <c r="AZ50" i="9"/>
  <c r="AR51" i="9"/>
  <c r="AJ52" i="9"/>
  <c r="AZ52" i="9"/>
  <c r="AR53" i="9"/>
  <c r="AJ54" i="9"/>
  <c r="AZ54" i="9"/>
  <c r="AR55" i="9"/>
  <c r="AJ56" i="9"/>
  <c r="AZ56" i="9"/>
  <c r="AR57" i="9"/>
  <c r="AJ58" i="9"/>
  <c r="AZ58" i="9"/>
  <c r="AK64" i="9"/>
  <c r="AS49" i="9"/>
  <c r="AW51" i="9"/>
  <c r="BA56" i="9"/>
  <c r="AW58" i="9"/>
  <c r="AM49" i="9"/>
  <c r="AP68" i="9"/>
  <c r="AH71" i="9"/>
  <c r="AX73" i="9"/>
  <c r="AL71" i="9"/>
  <c r="AT73" i="9"/>
  <c r="AT67" i="9"/>
  <c r="BB70" i="9"/>
  <c r="AT71" i="9"/>
  <c r="AL72" i="9"/>
  <c r="AH52" i="9"/>
  <c r="AX54" i="9"/>
  <c r="AP57" i="9"/>
  <c r="AQ64" i="9"/>
  <c r="AI65" i="9"/>
  <c r="BC65" i="9"/>
  <c r="AU66" i="9"/>
  <c r="AM67" i="9"/>
  <c r="BC67" i="9"/>
  <c r="AU68" i="9"/>
  <c r="AM69" i="9"/>
  <c r="BC69" i="9"/>
  <c r="AU70" i="9"/>
  <c r="AM71" i="9"/>
  <c r="BC71" i="9"/>
  <c r="AU72" i="9"/>
  <c r="AM73" i="9"/>
  <c r="BC73" i="9"/>
  <c r="AU74" i="9"/>
  <c r="AN63" i="9"/>
  <c r="BD63" i="9"/>
  <c r="AL48" i="9"/>
  <c r="AX48" i="9"/>
  <c r="AP49" i="9"/>
  <c r="AH50" i="9"/>
  <c r="AK49" i="9"/>
  <c r="BA54" i="9"/>
  <c r="AS56" i="9"/>
  <c r="AZ64" i="9"/>
  <c r="AR65" i="9"/>
  <c r="AJ66" i="9"/>
  <c r="AZ66" i="9"/>
  <c r="AR67" i="9"/>
  <c r="AJ68" i="9"/>
  <c r="AZ68" i="9"/>
  <c r="AR69" i="9"/>
  <c r="AJ70" i="9"/>
  <c r="AZ70" i="9"/>
  <c r="AR71" i="9"/>
  <c r="AJ72" i="9"/>
  <c r="AZ72" i="9"/>
  <c r="AR73" i="9"/>
  <c r="AJ74" i="9"/>
  <c r="AZ74" i="9"/>
  <c r="AS63" i="9"/>
  <c r="AI64" i="9"/>
  <c r="AQ48" i="9"/>
  <c r="AQ49" i="9"/>
  <c r="AM50" i="9"/>
  <c r="AI51" i="9"/>
  <c r="AI52" i="9"/>
  <c r="BC52" i="9"/>
  <c r="AY53" i="9"/>
  <c r="AY54" i="9"/>
  <c r="AU55" i="9"/>
  <c r="AQ56" i="9"/>
  <c r="AQ57" i="9"/>
  <c r="AM58" i="9"/>
  <c r="AO64" i="9"/>
  <c r="BE54" i="9"/>
  <c r="AW56" i="9"/>
  <c r="AU48" i="9"/>
  <c r="AS65" i="9"/>
  <c r="AW67" i="9"/>
  <c r="BE69" i="9"/>
  <c r="BA72" i="9"/>
  <c r="AW74" i="9"/>
  <c r="AN48" i="9"/>
  <c r="BD48" i="9"/>
  <c r="AV49" i="9"/>
  <c r="AN50" i="9"/>
  <c r="BD50" i="9"/>
  <c r="AV51" i="9"/>
  <c r="AN52" i="9"/>
  <c r="BD52" i="9"/>
  <c r="AV53" i="9"/>
  <c r="AN54" i="9"/>
  <c r="BD54" i="9"/>
  <c r="AV55" i="9"/>
  <c r="AN56" i="9"/>
  <c r="BD56" i="9"/>
  <c r="AV57" i="9"/>
  <c r="AN58" i="9"/>
  <c r="BD58" i="9"/>
  <c r="BD106" i="9" s="1"/>
  <c r="AK52" i="9"/>
  <c r="AW54" i="9"/>
  <c r="AP66" i="9"/>
  <c r="AH69" i="9"/>
  <c r="AX71" i="9"/>
  <c r="AP74" i="9"/>
  <c r="AT66" i="9"/>
  <c r="BB71" i="9"/>
  <c r="AL51" i="9"/>
  <c r="AL74" i="9"/>
  <c r="AL70" i="9"/>
  <c r="BB51" i="9"/>
  <c r="AT54" i="9"/>
  <c r="AO71" i="9"/>
  <c r="AO65" i="9"/>
  <c r="AO67" i="9"/>
  <c r="AO70" i="9"/>
  <c r="AC38" i="9"/>
  <c r="AC41" i="9"/>
  <c r="AC39" i="9"/>
  <c r="AC33" i="9"/>
  <c r="AC35" i="9"/>
  <c r="AC34" i="9"/>
  <c r="AC36" i="9"/>
  <c r="AC37" i="9"/>
  <c r="AO53" i="9"/>
  <c r="BG37" i="9"/>
  <c r="BG26" i="9"/>
  <c r="AC40" i="9"/>
  <c r="AO50" i="9"/>
  <c r="BG34" i="9"/>
  <c r="AO47" i="9"/>
  <c r="AO95" i="9" s="1"/>
  <c r="BG31" i="9"/>
  <c r="BG21" i="9"/>
  <c r="BG24" i="9"/>
  <c r="BG18" i="9"/>
  <c r="BG20" i="9"/>
  <c r="AO48" i="9"/>
  <c r="BG32" i="9"/>
  <c r="BG25" i="9"/>
  <c r="AO56" i="9"/>
  <c r="BG40" i="9"/>
  <c r="BG15" i="9"/>
  <c r="AO52" i="9"/>
  <c r="BG36" i="9"/>
  <c r="AO54" i="9"/>
  <c r="BG38" i="9"/>
  <c r="AO55" i="9"/>
  <c r="BG39" i="9"/>
  <c r="BG16" i="9"/>
  <c r="AO49" i="9"/>
  <c r="AO97" i="9" s="1"/>
  <c r="BG33" i="9"/>
  <c r="AO51" i="9"/>
  <c r="BG35" i="9"/>
  <c r="AO58" i="9"/>
  <c r="BG42" i="9"/>
  <c r="AO57" i="9"/>
  <c r="BG41" i="9"/>
  <c r="AB43" i="9"/>
  <c r="BG23" i="9"/>
  <c r="BG17" i="9"/>
  <c r="BG19" i="9"/>
  <c r="BG22" i="9"/>
  <c r="BI17" i="9"/>
  <c r="BI18" i="9"/>
  <c r="BI19" i="9"/>
  <c r="BI22" i="9"/>
  <c r="BI24" i="9"/>
  <c r="BI35" i="9"/>
  <c r="BI37" i="9"/>
  <c r="BI21" i="9"/>
  <c r="BI25" i="9"/>
  <c r="BI34" i="9"/>
  <c r="AK51" i="9"/>
  <c r="AK53" i="9"/>
  <c r="AK50" i="9"/>
  <c r="BI20" i="9"/>
  <c r="BI32" i="9"/>
  <c r="BI36" i="9"/>
  <c r="BI38" i="9"/>
  <c r="BI23" i="9"/>
  <c r="BI39" i="9"/>
  <c r="BI40" i="9"/>
  <c r="BI41" i="9"/>
  <c r="BI42" i="9"/>
  <c r="BI33" i="9"/>
  <c r="AK55" i="9"/>
  <c r="BI26" i="9"/>
  <c r="BI16" i="9"/>
  <c r="BG95" i="9" l="1"/>
  <c r="BH19" i="9"/>
  <c r="BH22" i="9"/>
  <c r="BT25" i="9"/>
  <c r="AO105" i="9"/>
  <c r="BT19" i="9"/>
  <c r="AO99" i="9"/>
  <c r="BQ19" i="9"/>
  <c r="AL99" i="9"/>
  <c r="CI24" i="9"/>
  <c r="BD104" i="9"/>
  <c r="CA19" i="9"/>
  <c r="AV99" i="9"/>
  <c r="BV25" i="9"/>
  <c r="AQ105" i="9"/>
  <c r="BM18" i="9"/>
  <c r="AH98" i="9"/>
  <c r="BM20" i="9"/>
  <c r="AH100" i="9"/>
  <c r="CF24" i="9"/>
  <c r="BA104" i="9"/>
  <c r="BW21" i="9"/>
  <c r="AR101" i="9"/>
  <c r="BV22" i="9"/>
  <c r="AQ102" i="9"/>
  <c r="BQ17" i="9"/>
  <c r="AL97" i="9"/>
  <c r="CC24" i="9"/>
  <c r="AX104" i="9"/>
  <c r="BW22" i="9"/>
  <c r="AR102" i="9"/>
  <c r="CI25" i="9"/>
  <c r="BD105" i="9"/>
  <c r="BV21" i="9"/>
  <c r="AQ101" i="9"/>
  <c r="BX23" i="9"/>
  <c r="AS103" i="9"/>
  <c r="BZ17" i="9"/>
  <c r="AU97" i="9"/>
  <c r="BW20" i="9"/>
  <c r="AR100" i="9"/>
  <c r="CC20" i="9"/>
  <c r="AX100" i="9"/>
  <c r="BP18" i="9"/>
  <c r="AK98" i="9"/>
  <c r="BT23" i="9"/>
  <c r="AO103" i="9"/>
  <c r="BT20" i="9"/>
  <c r="AO100" i="9"/>
  <c r="CG19" i="9"/>
  <c r="BB99" i="9"/>
  <c r="BS24" i="9"/>
  <c r="AN104" i="9"/>
  <c r="CA21" i="9"/>
  <c r="AV101" i="9"/>
  <c r="CI18" i="9"/>
  <c r="BD98" i="9"/>
  <c r="BS16" i="9"/>
  <c r="AN96" i="9"/>
  <c r="CJ22" i="9"/>
  <c r="BE102" i="9"/>
  <c r="BV24" i="9"/>
  <c r="AQ104" i="9"/>
  <c r="CH20" i="9"/>
  <c r="BC100" i="9"/>
  <c r="BV17" i="9"/>
  <c r="AQ97" i="9"/>
  <c r="BX24" i="9"/>
  <c r="AS104" i="9"/>
  <c r="BU17" i="9"/>
  <c r="AP97" i="9"/>
  <c r="CB19" i="9"/>
  <c r="AW99" i="9"/>
  <c r="BO26" i="9"/>
  <c r="AJ106" i="9"/>
  <c r="BW23" i="9"/>
  <c r="AR103" i="9"/>
  <c r="CE20" i="9"/>
  <c r="AZ100" i="9"/>
  <c r="BO18" i="9"/>
  <c r="AJ98" i="9"/>
  <c r="BN25" i="9"/>
  <c r="AI105" i="9"/>
  <c r="BZ21" i="9"/>
  <c r="AU101" i="9"/>
  <c r="BN18" i="9"/>
  <c r="AI98" i="9"/>
  <c r="BY16" i="9"/>
  <c r="AT96" i="9"/>
  <c r="BM22" i="9"/>
  <c r="AH102" i="9"/>
  <c r="CE19" i="9"/>
  <c r="AZ99" i="9"/>
  <c r="BV19" i="9"/>
  <c r="AQ99" i="9"/>
  <c r="BS25" i="9"/>
  <c r="AN105" i="9"/>
  <c r="CA22" i="9"/>
  <c r="AV102" i="9"/>
  <c r="CI19" i="9"/>
  <c r="BD99" i="9"/>
  <c r="BS17" i="9"/>
  <c r="AN97" i="9"/>
  <c r="CJ19" i="9"/>
  <c r="BE99" i="9"/>
  <c r="BN24" i="9"/>
  <c r="AI104" i="9"/>
  <c r="BV20" i="9"/>
  <c r="AQ100" i="9"/>
  <c r="CH16" i="9"/>
  <c r="BC96" i="9"/>
  <c r="BX20" i="9"/>
  <c r="AS100" i="9"/>
  <c r="BM16" i="9"/>
  <c r="AH96" i="9"/>
  <c r="BU21" i="9"/>
  <c r="AP101" i="9"/>
  <c r="BO25" i="9"/>
  <c r="AJ105" i="9"/>
  <c r="BO17" i="9"/>
  <c r="AJ97" i="9"/>
  <c r="BZ25" i="9"/>
  <c r="AU105" i="9"/>
  <c r="BQ25" i="9"/>
  <c r="AL105" i="9"/>
  <c r="BW26" i="9"/>
  <c r="AR106" i="9"/>
  <c r="CE17" i="9"/>
  <c r="AZ97" i="9"/>
  <c r="CD23" i="9"/>
  <c r="AY103" i="9"/>
  <c r="BT24" i="9"/>
  <c r="AO104" i="9"/>
  <c r="BY22" i="9"/>
  <c r="AT102" i="9"/>
  <c r="BP20" i="9"/>
  <c r="AK100" i="9"/>
  <c r="CD21" i="9"/>
  <c r="AY101" i="9"/>
  <c r="BO24" i="9"/>
  <c r="AJ104" i="9"/>
  <c r="BO16" i="9"/>
  <c r="AJ96" i="9"/>
  <c r="BS23" i="9"/>
  <c r="AN103" i="9"/>
  <c r="CD17" i="9"/>
  <c r="AY97" i="9"/>
  <c r="BM24" i="9"/>
  <c r="AH104" i="9"/>
  <c r="CB17" i="9"/>
  <c r="AW97" i="9"/>
  <c r="BN16" i="9"/>
  <c r="AI96" i="9"/>
  <c r="AG4" i="9"/>
  <c r="BL4" i="9" s="1"/>
  <c r="BT26" i="9"/>
  <c r="AO106" i="9"/>
  <c r="CI20" i="9"/>
  <c r="BD100" i="9"/>
  <c r="BZ23" i="9"/>
  <c r="AU103" i="9"/>
  <c r="BV16" i="9"/>
  <c r="AQ96" i="9"/>
  <c r="CC16" i="9"/>
  <c r="AX96" i="9"/>
  <c r="BU25" i="9"/>
  <c r="AP105" i="9"/>
  <c r="BR17" i="9"/>
  <c r="AM97" i="9"/>
  <c r="BX17" i="9"/>
  <c r="AS97" i="9"/>
  <c r="BW25" i="9"/>
  <c r="AR105" i="9"/>
  <c r="CE22" i="9"/>
  <c r="AZ102" i="9"/>
  <c r="BO20" i="9"/>
  <c r="AJ100" i="9"/>
  <c r="BW17" i="9"/>
  <c r="AR97" i="9"/>
  <c r="CJ25" i="9"/>
  <c r="BE105" i="9"/>
  <c r="BR24" i="9"/>
  <c r="AM104" i="9"/>
  <c r="CD20" i="9"/>
  <c r="AY100" i="9"/>
  <c r="BN17" i="9"/>
  <c r="AI97" i="9"/>
  <c r="BX22" i="9"/>
  <c r="AS102" i="9"/>
  <c r="BU19" i="9"/>
  <c r="AP99" i="9"/>
  <c r="CG21" i="9"/>
  <c r="BB101" i="9"/>
  <c r="CE25" i="9"/>
  <c r="AZ105" i="9"/>
  <c r="BW18" i="9"/>
  <c r="AR98" i="9"/>
  <c r="BV26" i="9"/>
  <c r="AQ106" i="9"/>
  <c r="CD16" i="9"/>
  <c r="AY96" i="9"/>
  <c r="BU23" i="9"/>
  <c r="AP103" i="9"/>
  <c r="CA24" i="9"/>
  <c r="AV104" i="9"/>
  <c r="CI21" i="9"/>
  <c r="BD101" i="9"/>
  <c r="BS19" i="9"/>
  <c r="AN99" i="9"/>
  <c r="CA16" i="9"/>
  <c r="AV96" i="9"/>
  <c r="CD26" i="9"/>
  <c r="AY106" i="9"/>
  <c r="BN23" i="9"/>
  <c r="AI103" i="9"/>
  <c r="BZ19" i="9"/>
  <c r="AU99" i="9"/>
  <c r="CC17" i="9"/>
  <c r="AX97" i="9"/>
  <c r="CC18" i="9"/>
  <c r="AX98" i="9"/>
  <c r="BO23" i="9"/>
  <c r="AJ103" i="9"/>
  <c r="CH22" i="9"/>
  <c r="BC102" i="9"/>
  <c r="CG16" i="9"/>
  <c r="BB96" i="9"/>
  <c r="BM26" i="9"/>
  <c r="AH106" i="9"/>
  <c r="BW24" i="9"/>
  <c r="AR104" i="9"/>
  <c r="BN21" i="9"/>
  <c r="AI101" i="9"/>
  <c r="BS22" i="9"/>
  <c r="AN102" i="9"/>
  <c r="CI16" i="9"/>
  <c r="BD96" i="9"/>
  <c r="CB24" i="9"/>
  <c r="AW104" i="9"/>
  <c r="BR18" i="9"/>
  <c r="AM98" i="9"/>
  <c r="CE26" i="9"/>
  <c r="AZ106" i="9"/>
  <c r="CE18" i="9"/>
  <c r="AZ98" i="9"/>
  <c r="BN26" i="9"/>
  <c r="AI106" i="9"/>
  <c r="CH18" i="9"/>
  <c r="BC98" i="9"/>
  <c r="BN22" i="9"/>
  <c r="AI102" i="9"/>
  <c r="CA20" i="9"/>
  <c r="AV100" i="9"/>
  <c r="CI17" i="9"/>
  <c r="BD97" i="9"/>
  <c r="CH24" i="9"/>
  <c r="BC104" i="9"/>
  <c r="BU16" i="9"/>
  <c r="AP96" i="9"/>
  <c r="BO19" i="9"/>
  <c r="AJ99" i="9"/>
  <c r="CB20" i="9"/>
  <c r="AW100" i="9"/>
  <c r="BX19" i="9"/>
  <c r="AS99" i="9"/>
  <c r="BY17" i="9"/>
  <c r="AT97" i="9"/>
  <c r="BP23" i="9"/>
  <c r="AK103" i="9"/>
  <c r="BP21" i="9"/>
  <c r="AK101" i="9"/>
  <c r="BS26" i="9"/>
  <c r="AN106" i="9"/>
  <c r="CA23" i="9"/>
  <c r="AV103" i="9"/>
  <c r="BS18" i="9"/>
  <c r="AN98" i="9"/>
  <c r="BN20" i="9"/>
  <c r="AI100" i="9"/>
  <c r="CF22" i="9"/>
  <c r="BA102" i="9"/>
  <c r="BP19" i="9"/>
  <c r="AK99" i="9"/>
  <c r="BT22" i="9"/>
  <c r="AO102" i="9"/>
  <c r="BT16" i="9"/>
  <c r="AO96" i="9"/>
  <c r="BT18" i="9"/>
  <c r="AO98" i="9"/>
  <c r="BT21" i="9"/>
  <c r="AO101" i="9"/>
  <c r="CB22" i="9"/>
  <c r="AW102" i="9"/>
  <c r="CA25" i="9"/>
  <c r="AV105" i="9"/>
  <c r="CI22" i="9"/>
  <c r="BD102" i="9"/>
  <c r="BS20" i="9"/>
  <c r="AN100" i="9"/>
  <c r="CA17" i="9"/>
  <c r="AV97" i="9"/>
  <c r="BZ16" i="9"/>
  <c r="AU96" i="9"/>
  <c r="BR26" i="9"/>
  <c r="AM106" i="9"/>
  <c r="CD22" i="9"/>
  <c r="AY102" i="9"/>
  <c r="BN19" i="9"/>
  <c r="AI99" i="9"/>
  <c r="BP17" i="9"/>
  <c r="AK97" i="9"/>
  <c r="BQ16" i="9"/>
  <c r="AL96" i="9"/>
  <c r="CC22" i="9"/>
  <c r="AX102" i="9"/>
  <c r="CB26" i="9"/>
  <c r="AW106" i="9"/>
  <c r="CE24" i="9"/>
  <c r="AZ104" i="9"/>
  <c r="BO22" i="9"/>
  <c r="AJ102" i="9"/>
  <c r="BW19" i="9"/>
  <c r="AR99" i="9"/>
  <c r="CE16" i="9"/>
  <c r="AZ96" i="9"/>
  <c r="CH26" i="9"/>
  <c r="BC106" i="9"/>
  <c r="BV23" i="9"/>
  <c r="AQ103" i="9"/>
  <c r="CD19" i="9"/>
  <c r="AY99" i="9"/>
  <c r="BR16" i="9"/>
  <c r="AM96" i="9"/>
  <c r="CG17" i="9"/>
  <c r="BB97" i="9"/>
  <c r="CE23" i="9"/>
  <c r="AZ103" i="9"/>
  <c r="BW16" i="9"/>
  <c r="AR96" i="9"/>
  <c r="CD24" i="9"/>
  <c r="AY104" i="9"/>
  <c r="CA26" i="9"/>
  <c r="AV106" i="9"/>
  <c r="CI23" i="9"/>
  <c r="BD103" i="9"/>
  <c r="BS21" i="9"/>
  <c r="AN101" i="9"/>
  <c r="CA18" i="9"/>
  <c r="AV98" i="9"/>
  <c r="CD25" i="9"/>
  <c r="AY105" i="9"/>
  <c r="BR22" i="9"/>
  <c r="AM102" i="9"/>
  <c r="CD18" i="9"/>
  <c r="AY98" i="9"/>
  <c r="BM17" i="9"/>
  <c r="AH97" i="9"/>
  <c r="CC26" i="9"/>
  <c r="AX106" i="9"/>
  <c r="BO21" i="9"/>
  <c r="AJ101" i="9"/>
  <c r="BR20" i="9"/>
  <c r="AM100" i="9"/>
  <c r="CE21" i="9"/>
  <c r="AZ101" i="9"/>
  <c r="BV18" i="9"/>
  <c r="AQ98" i="9"/>
  <c r="CF19" i="9"/>
  <c r="BA99" i="9"/>
  <c r="BH33" i="9"/>
  <c r="BI49" i="9"/>
  <c r="BG66" i="9"/>
  <c r="BG47" i="9"/>
  <c r="BT15" i="9"/>
  <c r="CL15" i="9" s="1"/>
  <c r="BI58" i="9"/>
  <c r="CI26" i="9"/>
  <c r="BI70" i="9"/>
  <c r="BG49" i="9"/>
  <c r="BT17" i="9"/>
  <c r="BG71" i="9"/>
  <c r="BI65" i="9"/>
  <c r="BG69" i="9"/>
  <c r="BI73" i="9"/>
  <c r="BG64" i="9"/>
  <c r="BI51" i="9"/>
  <c r="BG58" i="9"/>
  <c r="BG67" i="9"/>
  <c r="BG54" i="9"/>
  <c r="BG48" i="9"/>
  <c r="BG50" i="9"/>
  <c r="BG53" i="9"/>
  <c r="BI74" i="9"/>
  <c r="BI66" i="9"/>
  <c r="BI68" i="9"/>
  <c r="BI69" i="9"/>
  <c r="BG63" i="9"/>
  <c r="BG51" i="9"/>
  <c r="BG70" i="9"/>
  <c r="BG65" i="9"/>
  <c r="BI71" i="9"/>
  <c r="BI64" i="9"/>
  <c r="BI67" i="9"/>
  <c r="BG73" i="9"/>
  <c r="BG55" i="9"/>
  <c r="BI72" i="9"/>
  <c r="BG68" i="9"/>
  <c r="BG72" i="9"/>
  <c r="BG74" i="9"/>
  <c r="BH23" i="9"/>
  <c r="BI55" i="9"/>
  <c r="BH25" i="9"/>
  <c r="BH18" i="9"/>
  <c r="BH38" i="9"/>
  <c r="BH34" i="9"/>
  <c r="BH24" i="9"/>
  <c r="BH40" i="9"/>
  <c r="BH16" i="9"/>
  <c r="BI50" i="9"/>
  <c r="BH35" i="9"/>
  <c r="BI54" i="9"/>
  <c r="BI48" i="9"/>
  <c r="BI53" i="9"/>
  <c r="BH21" i="9"/>
  <c r="BH41" i="9"/>
  <c r="BI57" i="9"/>
  <c r="BG57" i="9"/>
  <c r="BI56" i="9"/>
  <c r="BG56" i="9"/>
  <c r="BI52" i="9"/>
  <c r="BG52" i="9"/>
  <c r="BG43" i="9"/>
  <c r="BH20" i="9"/>
  <c r="BH17" i="9"/>
  <c r="BH26" i="9"/>
  <c r="BH42" i="9"/>
  <c r="BH39" i="9"/>
  <c r="BH36" i="9"/>
  <c r="BG27" i="9"/>
  <c r="BH32" i="9"/>
  <c r="BH37" i="9"/>
  <c r="AJ4" i="9" l="1"/>
  <c r="CN19" i="9"/>
  <c r="CN21" i="9"/>
  <c r="CL18" i="9"/>
  <c r="CN18" i="9"/>
  <c r="CN26" i="9"/>
  <c r="BI102" i="9"/>
  <c r="BI96" i="9"/>
  <c r="BI99" i="9"/>
  <c r="CL19" i="9"/>
  <c r="CL25" i="9"/>
  <c r="CL22" i="9"/>
  <c r="CN16" i="9"/>
  <c r="CN22" i="9"/>
  <c r="CL24" i="9"/>
  <c r="CL21" i="9"/>
  <c r="CL23" i="9"/>
  <c r="BI104" i="9"/>
  <c r="BG97" i="9"/>
  <c r="BI105" i="9"/>
  <c r="BG101" i="9"/>
  <c r="CN20" i="9"/>
  <c r="CL16" i="9"/>
  <c r="BI97" i="9"/>
  <c r="BG99" i="9"/>
  <c r="BH99" i="9" s="1"/>
  <c r="CN23" i="9"/>
  <c r="CN25" i="9"/>
  <c r="CN17" i="9"/>
  <c r="BI101" i="9"/>
  <c r="BH101" i="9" s="1"/>
  <c r="BI106" i="9"/>
  <c r="BG106" i="9"/>
  <c r="BI100" i="9"/>
  <c r="BG104" i="9"/>
  <c r="BG100" i="9"/>
  <c r="CL20" i="9"/>
  <c r="CN24" i="9"/>
  <c r="BG98" i="9"/>
  <c r="BG102" i="9"/>
  <c r="BI98" i="9"/>
  <c r="BG105" i="9"/>
  <c r="BH105" i="9" s="1"/>
  <c r="BG96" i="9"/>
  <c r="BI103" i="9"/>
  <c r="BG103" i="9"/>
  <c r="BH70" i="9"/>
  <c r="BH53" i="9"/>
  <c r="BH65" i="9"/>
  <c r="BH71" i="9"/>
  <c r="BH66" i="9"/>
  <c r="BH49" i="9"/>
  <c r="BH48" i="9"/>
  <c r="CL17" i="9"/>
  <c r="BH69" i="9"/>
  <c r="BH54" i="9"/>
  <c r="BH58" i="9"/>
  <c r="BH50" i="9"/>
  <c r="BH64" i="9"/>
  <c r="CL26" i="9"/>
  <c r="BH67" i="9"/>
  <c r="CM25" i="9"/>
  <c r="BH55" i="9"/>
  <c r="BO3" i="9"/>
  <c r="BG75" i="9"/>
  <c r="BH68" i="9"/>
  <c r="BH74" i="9"/>
  <c r="BH51" i="9"/>
  <c r="BH73" i="9"/>
  <c r="AG7" i="9"/>
  <c r="BH72" i="9"/>
  <c r="BG59" i="9"/>
  <c r="AG8" i="9" s="1"/>
  <c r="BH56" i="9"/>
  <c r="BH52" i="9"/>
  <c r="BH57" i="9"/>
  <c r="BG107" i="9" l="1"/>
  <c r="AJ8" i="9" s="1"/>
  <c r="CM24" i="9"/>
  <c r="CM19" i="9"/>
  <c r="CM23" i="9"/>
  <c r="CM26" i="9"/>
  <c r="CM16" i="9"/>
  <c r="CM21" i="9"/>
  <c r="CM18" i="9"/>
  <c r="BH102" i="9"/>
  <c r="CM20" i="9"/>
  <c r="BH97" i="9"/>
  <c r="BH104" i="9"/>
  <c r="BH100" i="9"/>
  <c r="CM22" i="9"/>
  <c r="BH98" i="9"/>
  <c r="CM17" i="9"/>
  <c r="BH106" i="9"/>
  <c r="BH96" i="9"/>
  <c r="BH103" i="9"/>
  <c r="CL27" i="9"/>
  <c r="AJ7" i="9"/>
  <c r="BO4" i="9"/>
  <c r="AJ9" i="9" l="1"/>
  <c r="AD31" i="9" l="1"/>
  <c r="AH31" i="9"/>
  <c r="BI31" i="9" s="1"/>
  <c r="AH63" i="9" l="1"/>
  <c r="BI15" i="9"/>
  <c r="BH15" i="9" s="1"/>
  <c r="BH27" i="9" s="1"/>
  <c r="BI43" i="9"/>
  <c r="BH31" i="9"/>
  <c r="BH43" i="9" s="1"/>
  <c r="AD43" i="9"/>
  <c r="AC31" i="9"/>
  <c r="AC43" i="9" s="1"/>
  <c r="AH4" i="9" s="1"/>
  <c r="BM4" i="9" s="1"/>
  <c r="AH47" i="9"/>
  <c r="AH95" i="9" l="1"/>
  <c r="BI95" i="9" s="1"/>
  <c r="BM15" i="9"/>
  <c r="CN15" i="9" s="1"/>
  <c r="BI63" i="9"/>
  <c r="BI75" i="9" s="1"/>
  <c r="AH7" i="9"/>
  <c r="BI47" i="9"/>
  <c r="BH47" i="9" s="1"/>
  <c r="BH59" i="9" s="1"/>
  <c r="AH8" i="9" s="1"/>
  <c r="BP3" i="9"/>
  <c r="BN3" i="9"/>
  <c r="AK4" i="9"/>
  <c r="AI4" i="9"/>
  <c r="K6" i="11" s="1"/>
  <c r="L6" i="11" s="1"/>
  <c r="T5" i="11" s="1"/>
  <c r="BI27" i="9"/>
  <c r="AI7" i="9" l="1"/>
  <c r="AK7" i="9"/>
  <c r="BI107" i="9"/>
  <c r="BH95" i="9"/>
  <c r="BH107" i="9" s="1"/>
  <c r="AK8" i="9" s="1"/>
  <c r="BH63" i="9"/>
  <c r="BH75" i="9" s="1"/>
  <c r="AI8" i="9"/>
  <c r="BI59" i="9"/>
  <c r="CN27" i="9"/>
  <c r="CM15" i="9"/>
  <c r="CM27" i="9" s="1"/>
  <c r="BP4" i="9"/>
  <c r="BN4" i="9"/>
  <c r="AK9" i="9" l="1"/>
  <c r="K10" i="12"/>
  <c r="K11" i="12"/>
  <c r="K8" i="12"/>
  <c r="K9" i="12"/>
  <c r="K7" i="12"/>
  <c r="BH111" i="9"/>
  <c r="BS51" i="9" l="1"/>
  <c r="BS83" i="9" s="1"/>
  <c r="BS58" i="9"/>
  <c r="BS90" i="9" s="1"/>
  <c r="BS50" i="9"/>
  <c r="BS82" i="9" s="1"/>
  <c r="BS48" i="9"/>
  <c r="BS80" i="9" s="1"/>
  <c r="I9" i="9" s="1"/>
  <c r="BS49" i="9"/>
  <c r="BS81" i="9" s="1"/>
  <c r="BS56" i="9"/>
  <c r="BS88" i="9" s="1"/>
  <c r="BS53" i="9"/>
  <c r="BS85" i="9" s="1"/>
  <c r="BS57" i="9"/>
  <c r="BS89" i="9" s="1"/>
  <c r="BS52" i="9"/>
  <c r="BS84" i="9" s="1"/>
  <c r="BS55" i="9"/>
  <c r="BS87" i="9" s="1"/>
  <c r="BS54" i="9"/>
  <c r="BS86" i="9" s="1"/>
  <c r="I10" i="9" s="1"/>
  <c r="BS73" i="9" l="1"/>
  <c r="BT41" i="9" s="1"/>
  <c r="BT105" i="9" s="1"/>
  <c r="BS69" i="9"/>
  <c r="BT37" i="9" s="1"/>
  <c r="BT101" i="9" s="1"/>
  <c r="BS72" i="9"/>
  <c r="BT40" i="9" s="1"/>
  <c r="BT104" i="9" s="1"/>
  <c r="BS66" i="9"/>
  <c r="BT34" i="9" s="1"/>
  <c r="BT98" i="9" s="1"/>
  <c r="BS64" i="9"/>
  <c r="BT32" i="9" s="1"/>
  <c r="BT96" i="9" s="1"/>
  <c r="BS67" i="9"/>
  <c r="BT35" i="9" s="1"/>
  <c r="BT99" i="9" s="1"/>
  <c r="BS71" i="9"/>
  <c r="BT39" i="9" s="1"/>
  <c r="BT103" i="9" s="1"/>
  <c r="BS74" i="9"/>
  <c r="BT42" i="9" s="1"/>
  <c r="BT106" i="9" s="1"/>
  <c r="BS70" i="9"/>
  <c r="BT38" i="9" s="1"/>
  <c r="BT102" i="9" s="1"/>
  <c r="BS65" i="9"/>
  <c r="BT33" i="9" s="1"/>
  <c r="BT97" i="9" s="1"/>
  <c r="BS68" i="9"/>
  <c r="BT36" i="9" s="1"/>
  <c r="BT100" i="9" s="1"/>
  <c r="BT56" i="9" l="1"/>
  <c r="BT72" i="9" s="1"/>
  <c r="BU40" i="9" s="1"/>
  <c r="BU104" i="9" s="1"/>
  <c r="BT120" i="9"/>
  <c r="BT57" i="9"/>
  <c r="BT73" i="9" s="1"/>
  <c r="BU41" i="9" s="1"/>
  <c r="BU105" i="9" s="1"/>
  <c r="BT50" i="9"/>
  <c r="BT66" i="9" s="1"/>
  <c r="BU34" i="9" s="1"/>
  <c r="BU98" i="9" s="1"/>
  <c r="BT114" i="9"/>
  <c r="BT53" i="9"/>
  <c r="BT85" i="9" s="1"/>
  <c r="BT121" i="9"/>
  <c r="BT48" i="9"/>
  <c r="BT64" i="9" s="1"/>
  <c r="BU32" i="9" s="1"/>
  <c r="BU96" i="9" s="1"/>
  <c r="BT54" i="9"/>
  <c r="BT70" i="9" s="1"/>
  <c r="BT117" i="9"/>
  <c r="BT58" i="9"/>
  <c r="BT74" i="9" s="1"/>
  <c r="BT112" i="9"/>
  <c r="BT55" i="9"/>
  <c r="BT71" i="9" s="1"/>
  <c r="BT52" i="9"/>
  <c r="BT68" i="9" s="1"/>
  <c r="BT49" i="9"/>
  <c r="BT65" i="9" s="1"/>
  <c r="BT51" i="9"/>
  <c r="BT67" i="9" s="1"/>
  <c r="BT88" i="9" l="1"/>
  <c r="BT89" i="9"/>
  <c r="BT82" i="9"/>
  <c r="N33" i="12"/>
  <c r="N34" i="12"/>
  <c r="N36" i="12"/>
  <c r="N32" i="12"/>
  <c r="N35" i="12"/>
  <c r="BT69" i="9"/>
  <c r="BU37" i="9" s="1"/>
  <c r="BU101" i="9" s="1"/>
  <c r="BT80" i="9"/>
  <c r="J9" i="9" s="1"/>
  <c r="BU39" i="9"/>
  <c r="BU103" i="9" s="1"/>
  <c r="BU42" i="9"/>
  <c r="BU106" i="9" s="1"/>
  <c r="BU33" i="9"/>
  <c r="BU97" i="9" s="1"/>
  <c r="BU38" i="9"/>
  <c r="BU102" i="9" s="1"/>
  <c r="BU36" i="9"/>
  <c r="BU100" i="9" s="1"/>
  <c r="BT119" i="9"/>
  <c r="BU35" i="9"/>
  <c r="BU99" i="9" s="1"/>
  <c r="BT115" i="9"/>
  <c r="BT116" i="9"/>
  <c r="BU48" i="9"/>
  <c r="BU64" i="9" s="1"/>
  <c r="BU56" i="9"/>
  <c r="BU72" i="9" s="1"/>
  <c r="BT122" i="9"/>
  <c r="BT83" i="9"/>
  <c r="BT113" i="9"/>
  <c r="BT87" i="9"/>
  <c r="BT90" i="9"/>
  <c r="BT118" i="9"/>
  <c r="BT81" i="9"/>
  <c r="BT86" i="9"/>
  <c r="J10" i="9" s="1"/>
  <c r="BU50" i="9"/>
  <c r="BU66" i="9" s="1"/>
  <c r="BU57" i="9"/>
  <c r="BT84" i="9"/>
  <c r="BU89" i="9" l="1"/>
  <c r="BU114" i="9"/>
  <c r="BU120" i="9"/>
  <c r="BU54" i="9"/>
  <c r="BU70" i="9" s="1"/>
  <c r="BU58" i="9"/>
  <c r="BU74" i="9" s="1"/>
  <c r="BU121" i="9"/>
  <c r="BU82" i="9"/>
  <c r="BV32" i="9"/>
  <c r="BV96" i="9" s="1"/>
  <c r="BU51" i="9"/>
  <c r="BU67" i="9" s="1"/>
  <c r="BV40" i="9"/>
  <c r="BV104" i="9" s="1"/>
  <c r="BU112" i="9"/>
  <c r="BU52" i="9"/>
  <c r="BU68" i="9" s="1"/>
  <c r="BU49" i="9"/>
  <c r="BU55" i="9"/>
  <c r="BU71" i="9" s="1"/>
  <c r="BU73" i="9"/>
  <c r="BV34" i="9"/>
  <c r="BV98" i="9" s="1"/>
  <c r="BU53" i="9"/>
  <c r="BU69" i="9" s="1"/>
  <c r="BU88" i="9"/>
  <c r="BU80" i="9"/>
  <c r="K9" i="9" s="1"/>
  <c r="BV39" i="9" l="1"/>
  <c r="BV103" i="9" s="1"/>
  <c r="BV36" i="9"/>
  <c r="BV100" i="9" s="1"/>
  <c r="BU81" i="9"/>
  <c r="BV37" i="9"/>
  <c r="BV101" i="9" s="1"/>
  <c r="BV48" i="9"/>
  <c r="BV64" i="9" s="1"/>
  <c r="BU85" i="9"/>
  <c r="BU65" i="9"/>
  <c r="BU83" i="9"/>
  <c r="BU90" i="9"/>
  <c r="BU118" i="9"/>
  <c r="BU84" i="9"/>
  <c r="BU117" i="9"/>
  <c r="BV50" i="9"/>
  <c r="BV66" i="9" s="1"/>
  <c r="BU87" i="9"/>
  <c r="BU113" i="9"/>
  <c r="BU116" i="9"/>
  <c r="BU115" i="9"/>
  <c r="BU122" i="9"/>
  <c r="BU86" i="9"/>
  <c r="K10" i="9" s="1"/>
  <c r="BV41" i="9"/>
  <c r="BV105" i="9" s="1"/>
  <c r="BU119" i="9"/>
  <c r="BV56" i="9"/>
  <c r="BV72" i="9" s="1"/>
  <c r="BV35" i="9"/>
  <c r="BV99" i="9" s="1"/>
  <c r="BV42" i="9"/>
  <c r="BV106" i="9" s="1"/>
  <c r="BV38" i="9"/>
  <c r="BV102" i="9" s="1"/>
  <c r="O32" i="12" l="1"/>
  <c r="P32" i="12" s="1"/>
  <c r="BW34" i="9"/>
  <c r="BW98" i="9" s="1"/>
  <c r="BV51" i="9"/>
  <c r="BV58" i="9"/>
  <c r="BV120" i="9"/>
  <c r="BV88" i="9"/>
  <c r="BV57" i="9"/>
  <c r="BV73" i="9" s="1"/>
  <c r="BV33" i="9"/>
  <c r="BV97" i="9" s="1"/>
  <c r="BW32" i="9"/>
  <c r="BW96" i="9" s="1"/>
  <c r="BV53" i="9"/>
  <c r="BV69" i="9" s="1"/>
  <c r="BV52" i="9"/>
  <c r="BV68" i="9" s="1"/>
  <c r="BV54" i="9"/>
  <c r="BV70" i="9" s="1"/>
  <c r="BV114" i="9"/>
  <c r="BV80" i="9"/>
  <c r="L9" i="9" s="1"/>
  <c r="BW40" i="9"/>
  <c r="BW104" i="9" s="1"/>
  <c r="BV82" i="9"/>
  <c r="BV112" i="9"/>
  <c r="BV55" i="9"/>
  <c r="O33" i="12" l="1"/>
  <c r="P33" i="12" s="1"/>
  <c r="BW38" i="9"/>
  <c r="BW102" i="9" s="1"/>
  <c r="BV87" i="9"/>
  <c r="BV71" i="9"/>
  <c r="BV119" i="9"/>
  <c r="BV90" i="9"/>
  <c r="BV115" i="9"/>
  <c r="BW36" i="9"/>
  <c r="BW100" i="9" s="1"/>
  <c r="BW37" i="9"/>
  <c r="BW101" i="9" s="1"/>
  <c r="BW48" i="9"/>
  <c r="BW41" i="9"/>
  <c r="BW105" i="9" s="1"/>
  <c r="BV122" i="9"/>
  <c r="BV83" i="9"/>
  <c r="BW56" i="9"/>
  <c r="BV118" i="9"/>
  <c r="BV116" i="9"/>
  <c r="BV117" i="9"/>
  <c r="BV89" i="9"/>
  <c r="BV86" i="9"/>
  <c r="L10" i="9" s="1"/>
  <c r="BV84" i="9"/>
  <c r="BV85" i="9"/>
  <c r="BV49" i="9"/>
  <c r="BV65" i="9" s="1"/>
  <c r="BV121" i="9"/>
  <c r="BV74" i="9"/>
  <c r="BV67" i="9"/>
  <c r="BW50" i="9"/>
  <c r="BW66" i="9" s="1"/>
  <c r="O34" i="12" l="1"/>
  <c r="P34" i="12"/>
  <c r="BX34" i="9"/>
  <c r="BX98" i="9" s="1"/>
  <c r="BW33" i="9"/>
  <c r="BW97" i="9" s="1"/>
  <c r="BW88" i="9"/>
  <c r="BW80" i="9"/>
  <c r="M9" i="9" s="1"/>
  <c r="BV81" i="9"/>
  <c r="BW120" i="9"/>
  <c r="BW57" i="9"/>
  <c r="BW112" i="9"/>
  <c r="BW52" i="9"/>
  <c r="BW68" i="9" s="1"/>
  <c r="BW82" i="9"/>
  <c r="BW114" i="9"/>
  <c r="BV113" i="9"/>
  <c r="BW42" i="9"/>
  <c r="BW106" i="9" s="1"/>
  <c r="BW35" i="9"/>
  <c r="BW99" i="9" s="1"/>
  <c r="BW72" i="9"/>
  <c r="BW64" i="9"/>
  <c r="BW53" i="9"/>
  <c r="BW69" i="9" s="1"/>
  <c r="BW39" i="9"/>
  <c r="BW103" i="9" s="1"/>
  <c r="BW54" i="9"/>
  <c r="BW70" i="9" s="1"/>
  <c r="O35" i="12" l="1"/>
  <c r="P35" i="12"/>
  <c r="BX38" i="9"/>
  <c r="BX102" i="9" s="1"/>
  <c r="BX37" i="9"/>
  <c r="BX101" i="9" s="1"/>
  <c r="BX36" i="9"/>
  <c r="BX100" i="9" s="1"/>
  <c r="BX32" i="9"/>
  <c r="BX96" i="9" s="1"/>
  <c r="BW51" i="9"/>
  <c r="BW67" i="9" s="1"/>
  <c r="BW89" i="9"/>
  <c r="BW86" i="9"/>
  <c r="M10" i="9" s="1"/>
  <c r="BW118" i="9"/>
  <c r="BW121" i="9"/>
  <c r="BW49" i="9"/>
  <c r="BW65" i="9" s="1"/>
  <c r="BW117" i="9"/>
  <c r="BX40" i="9"/>
  <c r="BX104" i="9" s="1"/>
  <c r="BW58" i="9"/>
  <c r="BW74" i="9" s="1"/>
  <c r="BW84" i="9"/>
  <c r="BW55" i="9"/>
  <c r="BW71" i="9" s="1"/>
  <c r="BW85" i="9"/>
  <c r="BW116" i="9"/>
  <c r="BW73" i="9"/>
  <c r="BX50" i="9"/>
  <c r="BX66" i="9" s="1"/>
  <c r="O36" i="12" l="1"/>
  <c r="P36" i="12" s="1"/>
  <c r="BX33" i="9"/>
  <c r="BX97" i="9" s="1"/>
  <c r="BY34" i="9"/>
  <c r="BY98" i="9" s="1"/>
  <c r="BX35" i="9"/>
  <c r="BX99" i="9" s="1"/>
  <c r="BX42" i="9"/>
  <c r="BX106" i="9" s="1"/>
  <c r="BX56" i="9"/>
  <c r="BX72" i="9" s="1"/>
  <c r="BX41" i="9"/>
  <c r="BX105" i="9" s="1"/>
  <c r="BX114" i="9"/>
  <c r="BX39" i="9"/>
  <c r="BX103" i="9" s="1"/>
  <c r="BW122" i="9"/>
  <c r="BW113" i="9"/>
  <c r="BX48" i="9"/>
  <c r="BX64" i="9" s="1"/>
  <c r="BX53" i="9"/>
  <c r="BX69" i="9" s="1"/>
  <c r="BX82" i="9"/>
  <c r="BW87" i="9"/>
  <c r="BW90" i="9"/>
  <c r="BW81" i="9"/>
  <c r="BW115" i="9"/>
  <c r="BW119" i="9"/>
  <c r="BW83" i="9"/>
  <c r="BX52" i="9"/>
  <c r="BX68" i="9" s="1"/>
  <c r="BX54" i="9"/>
  <c r="BX70" i="9" s="1"/>
  <c r="BY114" i="9" l="1"/>
  <c r="BY36" i="9"/>
  <c r="BY100" i="9" s="1"/>
  <c r="BY38" i="9"/>
  <c r="BY102" i="9" s="1"/>
  <c r="BX85" i="9"/>
  <c r="BX112" i="9"/>
  <c r="BX118" i="9"/>
  <c r="BX117" i="9"/>
  <c r="BX80" i="9"/>
  <c r="N9" i="9" s="1"/>
  <c r="BY40" i="9"/>
  <c r="BY104" i="9" s="1"/>
  <c r="BX58" i="9"/>
  <c r="BX74" i="9" s="1"/>
  <c r="BY50" i="9"/>
  <c r="BY82" i="9" s="1"/>
  <c r="BX86" i="9"/>
  <c r="N10" i="9" s="1"/>
  <c r="BX84" i="9"/>
  <c r="BX88" i="9"/>
  <c r="BX116" i="9"/>
  <c r="BY37" i="9"/>
  <c r="BY101" i="9" s="1"/>
  <c r="BY32" i="9"/>
  <c r="BY96" i="9" s="1"/>
  <c r="BX55" i="9"/>
  <c r="BX57" i="9"/>
  <c r="BX120" i="9"/>
  <c r="BX51" i="9"/>
  <c r="BX67" i="9" s="1"/>
  <c r="BX49" i="9"/>
  <c r="BX65" i="9" s="1"/>
  <c r="BY120" i="9" l="1"/>
  <c r="BY112" i="9"/>
  <c r="BY33" i="9"/>
  <c r="BY97" i="9" s="1"/>
  <c r="BY35" i="9"/>
  <c r="BY99" i="9" s="1"/>
  <c r="BX89" i="9"/>
  <c r="BX87" i="9"/>
  <c r="BY117" i="9"/>
  <c r="BY53" i="9"/>
  <c r="BY85" i="9" s="1"/>
  <c r="BX113" i="9"/>
  <c r="BX115" i="9"/>
  <c r="BY66" i="9"/>
  <c r="BZ34" i="9" s="1"/>
  <c r="BZ98" i="9" s="1"/>
  <c r="BY42" i="9"/>
  <c r="BY106" i="9" s="1"/>
  <c r="BY56" i="9"/>
  <c r="BY88" i="9" s="1"/>
  <c r="BY54" i="9"/>
  <c r="BY86" i="9" s="1"/>
  <c r="O10" i="9" s="1"/>
  <c r="BY118" i="9"/>
  <c r="BX81" i="9"/>
  <c r="BX83" i="9"/>
  <c r="BX73" i="9"/>
  <c r="BX71" i="9"/>
  <c r="BY48" i="9"/>
  <c r="BY80" i="9" s="1"/>
  <c r="O9" i="9" s="1"/>
  <c r="BX122" i="9"/>
  <c r="BX121" i="9"/>
  <c r="BX119" i="9"/>
  <c r="BX90" i="9"/>
  <c r="BY52" i="9"/>
  <c r="BY84" i="9" s="1"/>
  <c r="BY116" i="9"/>
  <c r="BZ114" i="9" l="1"/>
  <c r="BY113" i="9"/>
  <c r="BY68" i="9"/>
  <c r="BZ36" i="9" s="1"/>
  <c r="BZ100" i="9" s="1"/>
  <c r="BY70" i="9"/>
  <c r="BZ38" i="9" s="1"/>
  <c r="BZ102" i="9" s="1"/>
  <c r="BZ50" i="9"/>
  <c r="BZ82" i="9" s="1"/>
  <c r="BY69" i="9"/>
  <c r="BZ37" i="9" s="1"/>
  <c r="BZ101" i="9" s="1"/>
  <c r="BY115" i="9"/>
  <c r="BY51" i="9"/>
  <c r="BY83" i="9" s="1"/>
  <c r="BY39" i="9"/>
  <c r="BY103" i="9" s="1"/>
  <c r="BY64" i="9"/>
  <c r="BZ32" i="9" s="1"/>
  <c r="BZ96" i="9" s="1"/>
  <c r="BY41" i="9"/>
  <c r="BY105" i="9" s="1"/>
  <c r="BY72" i="9"/>
  <c r="BZ40" i="9" s="1"/>
  <c r="BZ104" i="9" s="1"/>
  <c r="BY58" i="9"/>
  <c r="BY90" i="9" s="1"/>
  <c r="BY122" i="9"/>
  <c r="BY49" i="9"/>
  <c r="BY81" i="9" s="1"/>
  <c r="BZ118" i="9" l="1"/>
  <c r="BZ48" i="9"/>
  <c r="BZ80" i="9" s="1"/>
  <c r="P9" i="9" s="1"/>
  <c r="BZ112" i="9"/>
  <c r="BZ120" i="9"/>
  <c r="BZ56" i="9"/>
  <c r="BZ88" i="9" s="1"/>
  <c r="BY119" i="9"/>
  <c r="BY55" i="9"/>
  <c r="BY87" i="9" s="1"/>
  <c r="BZ117" i="9"/>
  <c r="BZ53" i="9"/>
  <c r="BZ85" i="9" s="1"/>
  <c r="BZ54" i="9"/>
  <c r="BZ86" i="9" s="1"/>
  <c r="P10" i="9" s="1"/>
  <c r="BY74" i="9"/>
  <c r="BZ42" i="9" s="1"/>
  <c r="BZ106" i="9" s="1"/>
  <c r="BY65" i="9"/>
  <c r="BZ33" i="9" s="1"/>
  <c r="BZ97" i="9" s="1"/>
  <c r="BY121" i="9"/>
  <c r="BY57" i="9"/>
  <c r="BY89" i="9" s="1"/>
  <c r="BY67" i="9"/>
  <c r="BZ35" i="9" s="1"/>
  <c r="BZ99" i="9" s="1"/>
  <c r="BZ66" i="9"/>
  <c r="CA34" i="9" s="1"/>
  <c r="CA98" i="9" s="1"/>
  <c r="BZ52" i="9"/>
  <c r="BZ84" i="9" s="1"/>
  <c r="BZ116" i="9"/>
  <c r="BZ122" i="9" l="1"/>
  <c r="BY73" i="9"/>
  <c r="BZ41" i="9" s="1"/>
  <c r="BZ105" i="9" s="1"/>
  <c r="BZ68" i="9"/>
  <c r="CA36" i="9" s="1"/>
  <c r="CA100" i="9" s="1"/>
  <c r="BZ69" i="9"/>
  <c r="CA37" i="9" s="1"/>
  <c r="CA101" i="9" s="1"/>
  <c r="BZ58" i="9"/>
  <c r="BZ90" i="9" s="1"/>
  <c r="BZ70" i="9"/>
  <c r="CA38" i="9" s="1"/>
  <c r="CA102" i="9" s="1"/>
  <c r="BZ64" i="9"/>
  <c r="CA32" i="9" s="1"/>
  <c r="CA96" i="9" s="1"/>
  <c r="CA50" i="9"/>
  <c r="CA82" i="9" s="1"/>
  <c r="CA114" i="9"/>
  <c r="BZ72" i="9"/>
  <c r="CA40" i="9" s="1"/>
  <c r="CA104" i="9" s="1"/>
  <c r="BZ51" i="9"/>
  <c r="BZ83" i="9" s="1"/>
  <c r="BZ115" i="9"/>
  <c r="BZ49" i="9"/>
  <c r="BZ81" i="9" s="1"/>
  <c r="BZ113" i="9"/>
  <c r="BY71" i="9"/>
  <c r="BZ39" i="9" s="1"/>
  <c r="BZ103" i="9" s="1"/>
  <c r="CA53" i="9" l="1"/>
  <c r="CA85" i="9" s="1"/>
  <c r="CA117" i="9"/>
  <c r="CA52" i="9"/>
  <c r="CA84" i="9" s="1"/>
  <c r="CA120" i="9"/>
  <c r="BZ121" i="9"/>
  <c r="BZ57" i="9"/>
  <c r="BZ89" i="9" s="1"/>
  <c r="CA116" i="9"/>
  <c r="BZ74" i="9"/>
  <c r="CA42" i="9" s="1"/>
  <c r="CA106" i="9" s="1"/>
  <c r="CA56" i="9"/>
  <c r="CA88" i="9" s="1"/>
  <c r="BZ65" i="9"/>
  <c r="CA33" i="9" s="1"/>
  <c r="CA97" i="9" s="1"/>
  <c r="CA48" i="9"/>
  <c r="CA80" i="9" s="1"/>
  <c r="Q9" i="9" s="1"/>
  <c r="CA112" i="9"/>
  <c r="BZ55" i="9"/>
  <c r="BZ87" i="9" s="1"/>
  <c r="BZ119" i="9"/>
  <c r="BZ67" i="9"/>
  <c r="CA35" i="9" s="1"/>
  <c r="CA99" i="9" s="1"/>
  <c r="CA66" i="9"/>
  <c r="CB34" i="9" s="1"/>
  <c r="CB98" i="9" s="1"/>
  <c r="CA54" i="9"/>
  <c r="CA86" i="9" s="1"/>
  <c r="Q10" i="9" s="1"/>
  <c r="CA118" i="9"/>
  <c r="CA69" i="9" l="1"/>
  <c r="CB37" i="9" s="1"/>
  <c r="CB101" i="9" s="1"/>
  <c r="CB117" i="9" s="1"/>
  <c r="CA68" i="9"/>
  <c r="CB36" i="9" s="1"/>
  <c r="CB100" i="9" s="1"/>
  <c r="CB116" i="9" s="1"/>
  <c r="CA58" i="9"/>
  <c r="CA90" i="9" s="1"/>
  <c r="CA122" i="9"/>
  <c r="BZ73" i="9"/>
  <c r="CA41" i="9" s="1"/>
  <c r="CA105" i="9" s="1"/>
  <c r="BZ71" i="9"/>
  <c r="CA39" i="9" s="1"/>
  <c r="CA103" i="9" s="1"/>
  <c r="CA70" i="9"/>
  <c r="CB38" i="9" s="1"/>
  <c r="CB102" i="9" s="1"/>
  <c r="CA49" i="9"/>
  <c r="CA81" i="9" s="1"/>
  <c r="CA113" i="9"/>
  <c r="CB50" i="9"/>
  <c r="CB82" i="9" s="1"/>
  <c r="CB114" i="9"/>
  <c r="CA64" i="9"/>
  <c r="CB32" i="9" s="1"/>
  <c r="CB96" i="9" s="1"/>
  <c r="CA72" i="9"/>
  <c r="CB40" i="9" s="1"/>
  <c r="CB104" i="9" s="1"/>
  <c r="CA51" i="9"/>
  <c r="CA83" i="9" s="1"/>
  <c r="CA115" i="9"/>
  <c r="CB53" i="9" l="1"/>
  <c r="CB85" i="9" s="1"/>
  <c r="CB52" i="9"/>
  <c r="CA74" i="9"/>
  <c r="CB42" i="9" s="1"/>
  <c r="CB106" i="9" s="1"/>
  <c r="CB122" i="9" s="1"/>
  <c r="CB118" i="9"/>
  <c r="CA57" i="9"/>
  <c r="CA89" i="9" s="1"/>
  <c r="CA121" i="9"/>
  <c r="CA119" i="9"/>
  <c r="CA55" i="9"/>
  <c r="CA87" i="9" s="1"/>
  <c r="CB54" i="9"/>
  <c r="CB86" i="9" s="1"/>
  <c r="R10" i="9" s="1"/>
  <c r="CA67" i="9"/>
  <c r="CB35" i="9" s="1"/>
  <c r="CB99" i="9" s="1"/>
  <c r="CB66" i="9"/>
  <c r="CC34" i="9" s="1"/>
  <c r="CC98" i="9" s="1"/>
  <c r="CB56" i="9"/>
  <c r="CB88" i="9" s="1"/>
  <c r="CB120" i="9"/>
  <c r="CA65" i="9"/>
  <c r="CB33" i="9" s="1"/>
  <c r="CB97" i="9" s="1"/>
  <c r="CB112" i="9"/>
  <c r="CB48" i="9"/>
  <c r="CB80" i="9" s="1"/>
  <c r="R9" i="9" s="1"/>
  <c r="CB69" i="9"/>
  <c r="CC37" i="9" s="1"/>
  <c r="CC101" i="9" s="1"/>
  <c r="CB84" i="9" l="1"/>
  <c r="CB68" i="9"/>
  <c r="CC36" i="9" s="1"/>
  <c r="CA73" i="9"/>
  <c r="CB41" i="9" s="1"/>
  <c r="CB105" i="9" s="1"/>
  <c r="CB121" i="9" s="1"/>
  <c r="CB58" i="9"/>
  <c r="CB51" i="9"/>
  <c r="CB83" i="9" s="1"/>
  <c r="CA71" i="9"/>
  <c r="CB39" i="9" s="1"/>
  <c r="CB103" i="9" s="1"/>
  <c r="CB70" i="9"/>
  <c r="CC38" i="9" s="1"/>
  <c r="CC102" i="9" s="1"/>
  <c r="CB115" i="9"/>
  <c r="CB72" i="9"/>
  <c r="CC40" i="9" s="1"/>
  <c r="CC104" i="9" s="1"/>
  <c r="CC117" i="9"/>
  <c r="CC53" i="9"/>
  <c r="CC85" i="9" s="1"/>
  <c r="CB64" i="9"/>
  <c r="CC32" i="9" s="1"/>
  <c r="CC96" i="9" s="1"/>
  <c r="CB49" i="9"/>
  <c r="CB81" i="9" s="1"/>
  <c r="CB113" i="9"/>
  <c r="CC50" i="9"/>
  <c r="CC82" i="9" s="1"/>
  <c r="CC114" i="9"/>
  <c r="CB67" i="9" l="1"/>
  <c r="CC35" i="9" s="1"/>
  <c r="CC99" i="9" s="1"/>
  <c r="CC115" i="9" s="1"/>
  <c r="CC100" i="9"/>
  <c r="CC116" i="9" s="1"/>
  <c r="CC52" i="9"/>
  <c r="CB57" i="9"/>
  <c r="CB89" i="9" s="1"/>
  <c r="CB90" i="9"/>
  <c r="CB74" i="9"/>
  <c r="CC42" i="9" s="1"/>
  <c r="CC118" i="9"/>
  <c r="CC120" i="9"/>
  <c r="CB119" i="9"/>
  <c r="CB55" i="9"/>
  <c r="CB87" i="9" s="1"/>
  <c r="CC56" i="9"/>
  <c r="CC88" i="9" s="1"/>
  <c r="CC54" i="9"/>
  <c r="CC86" i="9" s="1"/>
  <c r="S10" i="9" s="1"/>
  <c r="CC66" i="9"/>
  <c r="CD34" i="9" s="1"/>
  <c r="CD98" i="9" s="1"/>
  <c r="CB65" i="9"/>
  <c r="CC33" i="9" s="1"/>
  <c r="CC97" i="9" s="1"/>
  <c r="CC48" i="9"/>
  <c r="CC80" i="9" s="1"/>
  <c r="S9" i="9" s="1"/>
  <c r="CC112" i="9"/>
  <c r="CC69" i="9"/>
  <c r="CD37" i="9" s="1"/>
  <c r="CD101" i="9" s="1"/>
  <c r="CC51" i="9" l="1"/>
  <c r="CC83" i="9" s="1"/>
  <c r="CB73" i="9"/>
  <c r="CC41" i="9" s="1"/>
  <c r="CC105" i="9" s="1"/>
  <c r="CC121" i="9" s="1"/>
  <c r="CC84" i="9"/>
  <c r="CC68" i="9"/>
  <c r="CD36" i="9" s="1"/>
  <c r="CC106" i="9"/>
  <c r="CC122" i="9" s="1"/>
  <c r="CC58" i="9"/>
  <c r="CD114" i="9"/>
  <c r="CB71" i="9"/>
  <c r="CC39" i="9" s="1"/>
  <c r="CC103" i="9" s="1"/>
  <c r="CC72" i="9"/>
  <c r="CD40" i="9" s="1"/>
  <c r="CD104" i="9" s="1"/>
  <c r="CC70" i="9"/>
  <c r="CD38" i="9" s="1"/>
  <c r="CD102" i="9" s="1"/>
  <c r="CD50" i="9"/>
  <c r="CD82" i="9" s="1"/>
  <c r="CC64" i="9"/>
  <c r="CD32" i="9" s="1"/>
  <c r="CD96" i="9" s="1"/>
  <c r="CD53" i="9"/>
  <c r="CD85" i="9" s="1"/>
  <c r="CD117" i="9"/>
  <c r="CC113" i="9"/>
  <c r="CC49" i="9"/>
  <c r="CC81" i="9" s="1"/>
  <c r="CC67" i="9" l="1"/>
  <c r="CD35" i="9" s="1"/>
  <c r="CD99" i="9" s="1"/>
  <c r="CC57" i="9"/>
  <c r="CC89" i="9" s="1"/>
  <c r="CD100" i="9"/>
  <c r="CD116" i="9" s="1"/>
  <c r="CD52" i="9"/>
  <c r="CC90" i="9"/>
  <c r="CC74" i="9"/>
  <c r="CD42" i="9" s="1"/>
  <c r="CD48" i="9"/>
  <c r="CD80" i="9" s="1"/>
  <c r="T9" i="9" s="1"/>
  <c r="CD118" i="9"/>
  <c r="CD115" i="9"/>
  <c r="CD120" i="9"/>
  <c r="CC55" i="9"/>
  <c r="CC87" i="9" s="1"/>
  <c r="CC119" i="9"/>
  <c r="CD56" i="9"/>
  <c r="CD88" i="9" s="1"/>
  <c r="CD112" i="9"/>
  <c r="CD54" i="9"/>
  <c r="CD86" i="9" s="1"/>
  <c r="T10" i="9" s="1"/>
  <c r="CD66" i="9"/>
  <c r="CE34" i="9" s="1"/>
  <c r="CE98" i="9" s="1"/>
  <c r="CC65" i="9"/>
  <c r="CD33" i="9" s="1"/>
  <c r="CD97" i="9" s="1"/>
  <c r="CD69" i="9"/>
  <c r="CE37" i="9" s="1"/>
  <c r="CE101" i="9" s="1"/>
  <c r="CD51" i="9" l="1"/>
  <c r="CD83" i="9" s="1"/>
  <c r="CC73" i="9"/>
  <c r="CD41" i="9" s="1"/>
  <c r="CD105" i="9" s="1"/>
  <c r="CD121" i="9" s="1"/>
  <c r="CD84" i="9"/>
  <c r="CD68" i="9"/>
  <c r="CE36" i="9" s="1"/>
  <c r="CD106" i="9"/>
  <c r="CD122" i="9" s="1"/>
  <c r="CD58" i="9"/>
  <c r="CD90" i="9" s="1"/>
  <c r="CC71" i="9"/>
  <c r="CD39" i="9" s="1"/>
  <c r="CD103" i="9" s="1"/>
  <c r="CD119" i="9" s="1"/>
  <c r="CD64" i="9"/>
  <c r="CE32" i="9" s="1"/>
  <c r="CE96" i="9" s="1"/>
  <c r="CE112" i="9" s="1"/>
  <c r="CE114" i="9"/>
  <c r="CD49" i="9"/>
  <c r="CD81" i="9" s="1"/>
  <c r="CD72" i="9"/>
  <c r="CE40" i="9" s="1"/>
  <c r="CE104" i="9" s="1"/>
  <c r="CE50" i="9"/>
  <c r="CE82" i="9" s="1"/>
  <c r="CD70" i="9"/>
  <c r="CE38" i="9" s="1"/>
  <c r="CE102" i="9" s="1"/>
  <c r="CD113" i="9"/>
  <c r="CD67" i="9"/>
  <c r="CE35" i="9" s="1"/>
  <c r="CE99" i="9" s="1"/>
  <c r="CE117" i="9"/>
  <c r="CE53" i="9"/>
  <c r="CE85" i="9" s="1"/>
  <c r="CD57" i="9" l="1"/>
  <c r="CD73" i="9" s="1"/>
  <c r="CE41" i="9" s="1"/>
  <c r="CE105" i="9" s="1"/>
  <c r="CE100" i="9"/>
  <c r="CE116" i="9" s="1"/>
  <c r="CE52" i="9"/>
  <c r="CD65" i="9"/>
  <c r="CE33" i="9" s="1"/>
  <c r="CE97" i="9" s="1"/>
  <c r="CE113" i="9" s="1"/>
  <c r="CE48" i="9"/>
  <c r="CE80" i="9" s="1"/>
  <c r="U9" i="9" s="1"/>
  <c r="CD55" i="9"/>
  <c r="CD74" i="9"/>
  <c r="CE42" i="9" s="1"/>
  <c r="CE58" i="9" s="1"/>
  <c r="CE118" i="9"/>
  <c r="CE56" i="9"/>
  <c r="CE88" i="9" s="1"/>
  <c r="CE120" i="9"/>
  <c r="CE66" i="9"/>
  <c r="CF34" i="9" s="1"/>
  <c r="CF98" i="9" s="1"/>
  <c r="CE54" i="9"/>
  <c r="CE86" i="9" s="1"/>
  <c r="U10" i="9" s="1"/>
  <c r="CE69" i="9"/>
  <c r="CF37" i="9" s="1"/>
  <c r="CF101" i="9" s="1"/>
  <c r="CE115" i="9"/>
  <c r="CE51" i="9"/>
  <c r="CE83" i="9" s="1"/>
  <c r="CD89" i="9" l="1"/>
  <c r="CE49" i="9"/>
  <c r="CE81" i="9" s="1"/>
  <c r="CE64" i="9"/>
  <c r="CF32" i="9" s="1"/>
  <c r="CF96" i="9" s="1"/>
  <c r="CF112" i="9" s="1"/>
  <c r="CE72" i="9"/>
  <c r="CF40" i="9" s="1"/>
  <c r="CF104" i="9" s="1"/>
  <c r="CF120" i="9" s="1"/>
  <c r="CE106" i="9"/>
  <c r="CE122" i="9" s="1"/>
  <c r="CE84" i="9"/>
  <c r="CE68" i="9"/>
  <c r="CF36" i="9" s="1"/>
  <c r="CD87" i="9"/>
  <c r="CD71" i="9"/>
  <c r="CE39" i="9" s="1"/>
  <c r="CE90" i="9"/>
  <c r="CE74" i="9"/>
  <c r="CF42" i="9" s="1"/>
  <c r="CF53" i="9"/>
  <c r="CF85" i="9" s="1"/>
  <c r="CF117" i="9"/>
  <c r="CF114" i="9"/>
  <c r="CF50" i="9"/>
  <c r="CF82" i="9" s="1"/>
  <c r="CE70" i="9"/>
  <c r="CF38" i="9" s="1"/>
  <c r="CF102" i="9" s="1"/>
  <c r="CE57" i="9"/>
  <c r="CE121" i="9"/>
  <c r="CE67" i="9"/>
  <c r="CF35" i="9" s="1"/>
  <c r="CF99" i="9" s="1"/>
  <c r="CE65" i="9" l="1"/>
  <c r="CF33" i="9" s="1"/>
  <c r="CF97" i="9" s="1"/>
  <c r="CF113" i="9" s="1"/>
  <c r="CF56" i="9"/>
  <c r="CF88" i="9" s="1"/>
  <c r="CF48" i="9"/>
  <c r="CF80" i="9" s="1"/>
  <c r="V9" i="9" s="1"/>
  <c r="CE103" i="9"/>
  <c r="CE119" i="9" s="1"/>
  <c r="CE55" i="9"/>
  <c r="CF100" i="9"/>
  <c r="CF116" i="9" s="1"/>
  <c r="CF52" i="9"/>
  <c r="CF106" i="9"/>
  <c r="CF122" i="9" s="1"/>
  <c r="CF58" i="9"/>
  <c r="CF69" i="9"/>
  <c r="CG37" i="9" s="1"/>
  <c r="CG101" i="9" s="1"/>
  <c r="CG117" i="9" s="1"/>
  <c r="CF115" i="9"/>
  <c r="CF66" i="9"/>
  <c r="CG34" i="9" s="1"/>
  <c r="CG98" i="9" s="1"/>
  <c r="CF118" i="9"/>
  <c r="CF54" i="9"/>
  <c r="CE89" i="9"/>
  <c r="CE73" i="9"/>
  <c r="CF41" i="9" s="1"/>
  <c r="CF105" i="9" s="1"/>
  <c r="CF51" i="9"/>
  <c r="CF83" i="9" s="1"/>
  <c r="CF49" i="9" l="1"/>
  <c r="CF81" i="9" s="1"/>
  <c r="CF64" i="9"/>
  <c r="CG32" i="9" s="1"/>
  <c r="CG96" i="9" s="1"/>
  <c r="CG112" i="9" s="1"/>
  <c r="CF72" i="9"/>
  <c r="CG40" i="9" s="1"/>
  <c r="CG104" i="9" s="1"/>
  <c r="CG120" i="9" s="1"/>
  <c r="CG53" i="9"/>
  <c r="CG85" i="9" s="1"/>
  <c r="CF84" i="9"/>
  <c r="CF68" i="9"/>
  <c r="CG36" i="9" s="1"/>
  <c r="CE87" i="9"/>
  <c r="CE71" i="9"/>
  <c r="CF39" i="9" s="1"/>
  <c r="CF90" i="9"/>
  <c r="CF74" i="9"/>
  <c r="CG42" i="9" s="1"/>
  <c r="CG114" i="9"/>
  <c r="CG50" i="9"/>
  <c r="CG82" i="9" s="1"/>
  <c r="CF86" i="9"/>
  <c r="V10" i="9" s="1"/>
  <c r="CF70" i="9"/>
  <c r="CG38" i="9" s="1"/>
  <c r="CG102" i="9" s="1"/>
  <c r="CF121" i="9"/>
  <c r="CF57" i="9"/>
  <c r="CF67" i="9"/>
  <c r="CG35" i="9" s="1"/>
  <c r="CG99" i="9" s="1"/>
  <c r="CF65" i="9" l="1"/>
  <c r="CG33" i="9" s="1"/>
  <c r="CG97" i="9" s="1"/>
  <c r="CG113" i="9" s="1"/>
  <c r="CG48" i="9"/>
  <c r="CG80" i="9" s="1"/>
  <c r="W9" i="9" s="1"/>
  <c r="CG56" i="9"/>
  <c r="CG88" i="9" s="1"/>
  <c r="CG69" i="9"/>
  <c r="CH37" i="9" s="1"/>
  <c r="CH101" i="9" s="1"/>
  <c r="CH117" i="9" s="1"/>
  <c r="CF103" i="9"/>
  <c r="CF119" i="9" s="1"/>
  <c r="CF55" i="9"/>
  <c r="CF87" i="9" s="1"/>
  <c r="CG100" i="9"/>
  <c r="CG116" i="9" s="1"/>
  <c r="CG52" i="9"/>
  <c r="CG106" i="9"/>
  <c r="CG122" i="9" s="1"/>
  <c r="CG58" i="9"/>
  <c r="CG90" i="9" s="1"/>
  <c r="CG51" i="9"/>
  <c r="CG83" i="9" s="1"/>
  <c r="CG118" i="9"/>
  <c r="CG66" i="9"/>
  <c r="CH34" i="9" s="1"/>
  <c r="CH98" i="9" s="1"/>
  <c r="CG115" i="9"/>
  <c r="CG54" i="9"/>
  <c r="CF89" i="9"/>
  <c r="CF73" i="9"/>
  <c r="CG41" i="9" s="1"/>
  <c r="CG105" i="9" s="1"/>
  <c r="CG49" i="9" l="1"/>
  <c r="CG81" i="9" s="1"/>
  <c r="CG64" i="9"/>
  <c r="CH32" i="9" s="1"/>
  <c r="CH96" i="9" s="1"/>
  <c r="CH112" i="9" s="1"/>
  <c r="CG72" i="9"/>
  <c r="CH40" i="9" s="1"/>
  <c r="CH104" i="9" s="1"/>
  <c r="CH120" i="9" s="1"/>
  <c r="CG67" i="9"/>
  <c r="CH35" i="9" s="1"/>
  <c r="CH99" i="9" s="1"/>
  <c r="CH115" i="9" s="1"/>
  <c r="CH53" i="9"/>
  <c r="CH85" i="9" s="1"/>
  <c r="CG84" i="9"/>
  <c r="CG68" i="9"/>
  <c r="CH36" i="9" s="1"/>
  <c r="CF71" i="9"/>
  <c r="CG39" i="9" s="1"/>
  <c r="CG74" i="9"/>
  <c r="CH42" i="9" s="1"/>
  <c r="CH114" i="9"/>
  <c r="CH50" i="9"/>
  <c r="CH82" i="9" s="1"/>
  <c r="CG86" i="9"/>
  <c r="W10" i="9" s="1"/>
  <c r="CG70" i="9"/>
  <c r="CH38" i="9" s="1"/>
  <c r="CH102" i="9" s="1"/>
  <c r="CG57" i="9"/>
  <c r="CG121" i="9"/>
  <c r="CH56" i="9" l="1"/>
  <c r="CH88" i="9" s="1"/>
  <c r="CG65" i="9"/>
  <c r="CH33" i="9" s="1"/>
  <c r="CH97" i="9" s="1"/>
  <c r="CH113" i="9" s="1"/>
  <c r="CH48" i="9"/>
  <c r="CH69" i="9"/>
  <c r="CI37" i="9" s="1"/>
  <c r="CI101" i="9" s="1"/>
  <c r="CI117" i="9" s="1"/>
  <c r="CL117" i="9" s="1"/>
  <c r="CH51" i="9"/>
  <c r="CH83" i="9" s="1"/>
  <c r="CG103" i="9"/>
  <c r="CG119" i="9" s="1"/>
  <c r="CG55" i="9"/>
  <c r="CG87" i="9" s="1"/>
  <c r="CH100" i="9"/>
  <c r="CH116" i="9" s="1"/>
  <c r="CH52" i="9"/>
  <c r="CH84" i="9" s="1"/>
  <c r="CH106" i="9"/>
  <c r="CH122" i="9" s="1"/>
  <c r="CH58" i="9"/>
  <c r="CH90" i="9" s="1"/>
  <c r="CH66" i="9"/>
  <c r="CI34" i="9" s="1"/>
  <c r="CI98" i="9" s="1"/>
  <c r="CH118" i="9"/>
  <c r="CH54" i="9"/>
  <c r="CG89" i="9"/>
  <c r="CG73" i="9"/>
  <c r="CH41" i="9" s="1"/>
  <c r="CH105" i="9" s="1"/>
  <c r="CL37" i="9" l="1"/>
  <c r="CH49" i="9"/>
  <c r="CH81" i="9" s="1"/>
  <c r="CH72" i="9"/>
  <c r="CI40" i="9" s="1"/>
  <c r="CI104" i="9" s="1"/>
  <c r="CH67" i="9"/>
  <c r="CI35" i="9" s="1"/>
  <c r="CI99" i="9" s="1"/>
  <c r="CL99" i="9" s="1"/>
  <c r="CH80" i="9"/>
  <c r="X9" i="9" s="1"/>
  <c r="CH64" i="9"/>
  <c r="CI32" i="9" s="1"/>
  <c r="CI53" i="9"/>
  <c r="CI69" i="9" s="1"/>
  <c r="CJ37" i="9" s="1"/>
  <c r="CJ101" i="9" s="1"/>
  <c r="CJ117" i="9" s="1"/>
  <c r="CL101" i="9"/>
  <c r="CH68" i="9"/>
  <c r="CI36" i="9" s="1"/>
  <c r="CI100" i="9" s="1"/>
  <c r="CG71" i="9"/>
  <c r="CH39" i="9" s="1"/>
  <c r="CH74" i="9"/>
  <c r="CI42" i="9" s="1"/>
  <c r="CI50" i="9"/>
  <c r="CL50" i="9" s="1"/>
  <c r="CL98" i="9"/>
  <c r="CL34" i="9"/>
  <c r="CI114" i="9"/>
  <c r="CL114" i="9" s="1"/>
  <c r="CH86" i="9"/>
  <c r="X10" i="9" s="1"/>
  <c r="CH70" i="9"/>
  <c r="CI38" i="9" s="1"/>
  <c r="CI102" i="9" s="1"/>
  <c r="CH65" i="9"/>
  <c r="CI33" i="9" s="1"/>
  <c r="CI97" i="9" s="1"/>
  <c r="CH121" i="9"/>
  <c r="CH57" i="9"/>
  <c r="CI56" i="9" l="1"/>
  <c r="CI88" i="9" s="1"/>
  <c r="CL88" i="9" s="1"/>
  <c r="CL40" i="9"/>
  <c r="CI115" i="9"/>
  <c r="CL115" i="9" s="1"/>
  <c r="CL35" i="9"/>
  <c r="CI51" i="9"/>
  <c r="CI83" i="9" s="1"/>
  <c r="CL83" i="9" s="1"/>
  <c r="CL69" i="9"/>
  <c r="CJ53" i="9"/>
  <c r="CJ85" i="9" s="1"/>
  <c r="CL53" i="9"/>
  <c r="CI96" i="9"/>
  <c r="CI48" i="9"/>
  <c r="CL48" i="9" s="1"/>
  <c r="CL32" i="9"/>
  <c r="CI85" i="9"/>
  <c r="CL85" i="9" s="1"/>
  <c r="CL36" i="9"/>
  <c r="CI52" i="9"/>
  <c r="CI68" i="9" s="1"/>
  <c r="CI116" i="9"/>
  <c r="CL116" i="9" s="1"/>
  <c r="CL100" i="9"/>
  <c r="CH103" i="9"/>
  <c r="CH55" i="9"/>
  <c r="CH71" i="9" s="1"/>
  <c r="CI106" i="9"/>
  <c r="CL42" i="9"/>
  <c r="CI58" i="9"/>
  <c r="CI82" i="9"/>
  <c r="CL82" i="9" s="1"/>
  <c r="CI66" i="9"/>
  <c r="CL66" i="9" s="1"/>
  <c r="CL38" i="9"/>
  <c r="CI54" i="9"/>
  <c r="CL33" i="9"/>
  <c r="CI49" i="9"/>
  <c r="CH89" i="9"/>
  <c r="CH73" i="9"/>
  <c r="CI41" i="9" s="1"/>
  <c r="CI105" i="9" s="1"/>
  <c r="CL56" i="9"/>
  <c r="CI120" i="9"/>
  <c r="CL120" i="9" s="1"/>
  <c r="CL104" i="9"/>
  <c r="CI72" i="9"/>
  <c r="CI67" i="9" l="1"/>
  <c r="CJ35" i="9" s="1"/>
  <c r="CJ99" i="9" s="1"/>
  <c r="CJ115" i="9" s="1"/>
  <c r="CL51" i="9"/>
  <c r="CJ69" i="9"/>
  <c r="BM37" i="9" s="1"/>
  <c r="BM101" i="9" s="1"/>
  <c r="CI64" i="9"/>
  <c r="CI80" i="9"/>
  <c r="CI112" i="9"/>
  <c r="CL112" i="9" s="1"/>
  <c r="CL96" i="9"/>
  <c r="CJ34" i="9"/>
  <c r="CJ98" i="9" s="1"/>
  <c r="CJ114" i="9" s="1"/>
  <c r="CL52" i="9"/>
  <c r="CI84" i="9"/>
  <c r="CL84" i="9" s="1"/>
  <c r="CI39" i="9"/>
  <c r="CH87" i="9"/>
  <c r="CH119" i="9"/>
  <c r="CJ36" i="9"/>
  <c r="CL68" i="9"/>
  <c r="CI90" i="9"/>
  <c r="CL90" i="9" s="1"/>
  <c r="CI74" i="9"/>
  <c r="CL58" i="9"/>
  <c r="CL106" i="9"/>
  <c r="CI122" i="9"/>
  <c r="CL122" i="9" s="1"/>
  <c r="CL102" i="9"/>
  <c r="CI118" i="9"/>
  <c r="CL118" i="9" s="1"/>
  <c r="CI70" i="9"/>
  <c r="CI86" i="9"/>
  <c r="CL54" i="9"/>
  <c r="CI65" i="9"/>
  <c r="CL49" i="9"/>
  <c r="CI81" i="9"/>
  <c r="CL81" i="9" s="1"/>
  <c r="CI113" i="9"/>
  <c r="CL113" i="9" s="1"/>
  <c r="CL97" i="9"/>
  <c r="CI57" i="9"/>
  <c r="CL41" i="9"/>
  <c r="CJ40" i="9"/>
  <c r="CJ104" i="9" s="1"/>
  <c r="CL72" i="9"/>
  <c r="CL86" i="9" l="1"/>
  <c r="Y10" i="9"/>
  <c r="CL80" i="9"/>
  <c r="Y9" i="9"/>
  <c r="BM53" i="9"/>
  <c r="BM85" i="9" s="1"/>
  <c r="CL67" i="9"/>
  <c r="CJ50" i="9"/>
  <c r="CJ82" i="9" s="1"/>
  <c r="CJ51" i="9"/>
  <c r="CJ83" i="9" s="1"/>
  <c r="CL64" i="9"/>
  <c r="CJ32" i="9"/>
  <c r="CJ100" i="9"/>
  <c r="CJ116" i="9" s="1"/>
  <c r="CJ52" i="9"/>
  <c r="CJ84" i="9" s="1"/>
  <c r="CI103" i="9"/>
  <c r="CI55" i="9"/>
  <c r="CL39" i="9"/>
  <c r="CJ42" i="9"/>
  <c r="CL74" i="9"/>
  <c r="CJ38" i="9"/>
  <c r="CJ102" i="9" s="1"/>
  <c r="CL70" i="9"/>
  <c r="CJ33" i="9"/>
  <c r="CJ97" i="9" s="1"/>
  <c r="CL65" i="9"/>
  <c r="CI121" i="9"/>
  <c r="CL121" i="9" s="1"/>
  <c r="CL105" i="9"/>
  <c r="CI73" i="9"/>
  <c r="CI89" i="9"/>
  <c r="CL89" i="9" s="1"/>
  <c r="CL57" i="9"/>
  <c r="CJ120" i="9"/>
  <c r="CJ56" i="9"/>
  <c r="CJ88" i="9" s="1"/>
  <c r="BM117" i="9"/>
  <c r="BM69" i="9" l="1"/>
  <c r="BN37" i="9" s="1"/>
  <c r="BN101" i="9" s="1"/>
  <c r="CJ66" i="9"/>
  <c r="BM34" i="9" s="1"/>
  <c r="BM98" i="9" s="1"/>
  <c r="BM114" i="9" s="1"/>
  <c r="CJ67" i="9"/>
  <c r="BM35" i="9" s="1"/>
  <c r="BM51" i="9" s="1"/>
  <c r="BM67" i="9" s="1"/>
  <c r="BN35" i="9" s="1"/>
  <c r="CJ96" i="9"/>
  <c r="CJ112" i="9" s="1"/>
  <c r="CJ48" i="9"/>
  <c r="CJ80" i="9" s="1"/>
  <c r="Z9" i="9" s="1"/>
  <c r="CJ68" i="9"/>
  <c r="BM36" i="9" s="1"/>
  <c r="BM100" i="9" s="1"/>
  <c r="BM116" i="9" s="1"/>
  <c r="CI119" i="9"/>
  <c r="CL119" i="9" s="1"/>
  <c r="CL103" i="9"/>
  <c r="CI71" i="9"/>
  <c r="CI87" i="9"/>
  <c r="CL87" i="9" s="1"/>
  <c r="CL55" i="9"/>
  <c r="CJ106" i="9"/>
  <c r="CJ122" i="9" s="1"/>
  <c r="CJ58" i="9"/>
  <c r="BM50" i="9"/>
  <c r="BM82" i="9" s="1"/>
  <c r="CJ54" i="9"/>
  <c r="CJ86" i="9" s="1"/>
  <c r="Z10" i="9" s="1"/>
  <c r="CJ118" i="9"/>
  <c r="CJ49" i="9"/>
  <c r="CJ81" i="9" s="1"/>
  <c r="CJ113" i="9"/>
  <c r="CL73" i="9"/>
  <c r="CJ41" i="9"/>
  <c r="CJ105" i="9" s="1"/>
  <c r="BN53" i="9"/>
  <c r="BN69" i="9" s="1"/>
  <c r="CJ72" i="9"/>
  <c r="BM40" i="9" s="1"/>
  <c r="BM104" i="9" s="1"/>
  <c r="BM99" i="9" l="1"/>
  <c r="BM115" i="9" s="1"/>
  <c r="CJ64" i="9"/>
  <c r="BM32" i="9" s="1"/>
  <c r="BM83" i="9"/>
  <c r="BM52" i="9"/>
  <c r="BM84" i="9" s="1"/>
  <c r="BN99" i="9"/>
  <c r="BN115" i="9" s="1"/>
  <c r="BN51" i="9"/>
  <c r="BN67" i="9" s="1"/>
  <c r="BO35" i="9" s="1"/>
  <c r="BO99" i="9" s="1"/>
  <c r="CJ39" i="9"/>
  <c r="CL71" i="9"/>
  <c r="BM66" i="9"/>
  <c r="BN34" i="9" s="1"/>
  <c r="BN98" i="9" s="1"/>
  <c r="BN114" i="9" s="1"/>
  <c r="CJ90" i="9"/>
  <c r="CJ74" i="9"/>
  <c r="BM42" i="9" s="1"/>
  <c r="BM56" i="9"/>
  <c r="BM88" i="9" s="1"/>
  <c r="CJ70" i="9"/>
  <c r="BM38" i="9" s="1"/>
  <c r="BM102" i="9" s="1"/>
  <c r="CJ65" i="9"/>
  <c r="BM33" i="9" s="1"/>
  <c r="BM97" i="9" s="1"/>
  <c r="CJ57" i="9"/>
  <c r="CJ89" i="9" s="1"/>
  <c r="CJ121" i="9"/>
  <c r="BO37" i="9"/>
  <c r="BO101" i="9" s="1"/>
  <c r="BN85" i="9"/>
  <c r="BN117" i="9"/>
  <c r="BM96" i="9" l="1"/>
  <c r="BM112" i="9" s="1"/>
  <c r="BM48" i="9"/>
  <c r="BM80" i="9" s="1"/>
  <c r="C9" i="9" s="1"/>
  <c r="BM68" i="9"/>
  <c r="BN36" i="9" s="1"/>
  <c r="BN100" i="9" s="1"/>
  <c r="BN116" i="9" s="1"/>
  <c r="BN83" i="9"/>
  <c r="BM72" i="9"/>
  <c r="BN40" i="9" s="1"/>
  <c r="BN104" i="9" s="1"/>
  <c r="BN50" i="9"/>
  <c r="BN82" i="9" s="1"/>
  <c r="CJ103" i="9"/>
  <c r="CJ119" i="9" s="1"/>
  <c r="CJ55" i="9"/>
  <c r="CJ87" i="9" s="1"/>
  <c r="BM106" i="9"/>
  <c r="BM122" i="9" s="1"/>
  <c r="BM58" i="9"/>
  <c r="BM90" i="9" s="1"/>
  <c r="BM49" i="9"/>
  <c r="BM81" i="9" s="1"/>
  <c r="BM54" i="9"/>
  <c r="BM86" i="9" s="1"/>
  <c r="C10" i="9" s="1"/>
  <c r="BM118" i="9"/>
  <c r="BM113" i="9"/>
  <c r="CJ73" i="9"/>
  <c r="BM41" i="9" s="1"/>
  <c r="BM105" i="9" s="1"/>
  <c r="BO53" i="9"/>
  <c r="BO69" i="9" s="1"/>
  <c r="BM120" i="9"/>
  <c r="BO51" i="9"/>
  <c r="BO67" i="9" s="1"/>
  <c r="BM64" i="9" l="1"/>
  <c r="BN32" i="9" s="1"/>
  <c r="BN66" i="9"/>
  <c r="BO34" i="9" s="1"/>
  <c r="BO98" i="9" s="1"/>
  <c r="BO114" i="9" s="1"/>
  <c r="BN52" i="9"/>
  <c r="BN68" i="9" s="1"/>
  <c r="BO36" i="9" s="1"/>
  <c r="CJ71" i="9"/>
  <c r="BM39" i="9" s="1"/>
  <c r="BM74" i="9"/>
  <c r="BN42" i="9" s="1"/>
  <c r="BN106" i="9" s="1"/>
  <c r="BN122" i="9" s="1"/>
  <c r="BM65" i="9"/>
  <c r="BN33" i="9" s="1"/>
  <c r="BN97" i="9" s="1"/>
  <c r="BN113" i="9" s="1"/>
  <c r="BM70" i="9"/>
  <c r="BN38" i="9" s="1"/>
  <c r="BN102" i="9" s="1"/>
  <c r="BM57" i="9"/>
  <c r="BM89" i="9" s="1"/>
  <c r="BM121" i="9"/>
  <c r="BP35" i="9"/>
  <c r="BP99" i="9" s="1"/>
  <c r="BN56" i="9"/>
  <c r="BN72" i="9" s="1"/>
  <c r="BO83" i="9"/>
  <c r="BP37" i="9"/>
  <c r="BP101" i="9" s="1"/>
  <c r="BO115" i="9"/>
  <c r="BO85" i="9"/>
  <c r="BO117" i="9"/>
  <c r="BN96" i="9" l="1"/>
  <c r="BN112" i="9" s="1"/>
  <c r="BN48" i="9"/>
  <c r="BN80" i="9" s="1"/>
  <c r="D9" i="9" s="1"/>
  <c r="BO50" i="9"/>
  <c r="BO82" i="9" s="1"/>
  <c r="BN84" i="9"/>
  <c r="BN58" i="9"/>
  <c r="BN74" i="9" s="1"/>
  <c r="BO42" i="9" s="1"/>
  <c r="BO100" i="9"/>
  <c r="BO116" i="9" s="1"/>
  <c r="BO52" i="9"/>
  <c r="BN49" i="9"/>
  <c r="BN65" i="9" s="1"/>
  <c r="BO33" i="9" s="1"/>
  <c r="BO97" i="9" s="1"/>
  <c r="BM103" i="9"/>
  <c r="BM119" i="9" s="1"/>
  <c r="BM55" i="9"/>
  <c r="BM87" i="9" s="1"/>
  <c r="BN118" i="9"/>
  <c r="BN54" i="9"/>
  <c r="BM73" i="9"/>
  <c r="BN41" i="9" s="1"/>
  <c r="BN105" i="9" s="1"/>
  <c r="BO40" i="9"/>
  <c r="BO104" i="9" s="1"/>
  <c r="BN120" i="9"/>
  <c r="BP53" i="9"/>
  <c r="BP69" i="9" s="1"/>
  <c r="BN88" i="9"/>
  <c r="BP51" i="9"/>
  <c r="BP67" i="9" s="1"/>
  <c r="BO66" i="9" l="1"/>
  <c r="BP34" i="9" s="1"/>
  <c r="BP98" i="9" s="1"/>
  <c r="BP114" i="9" s="1"/>
  <c r="BN64" i="9"/>
  <c r="BO32" i="9" s="1"/>
  <c r="BN90" i="9"/>
  <c r="BN81" i="9"/>
  <c r="BM71" i="9"/>
  <c r="BN39" i="9" s="1"/>
  <c r="BN103" i="9" s="1"/>
  <c r="BN119" i="9" s="1"/>
  <c r="BO68" i="9"/>
  <c r="BP36" i="9" s="1"/>
  <c r="BO84" i="9"/>
  <c r="BO106" i="9"/>
  <c r="BO122" i="9" s="1"/>
  <c r="BO58" i="9"/>
  <c r="BO113" i="9"/>
  <c r="BN121" i="9"/>
  <c r="BN70" i="9"/>
  <c r="BO38" i="9" s="1"/>
  <c r="BO102" i="9" s="1"/>
  <c r="BN86" i="9"/>
  <c r="D10" i="9" s="1"/>
  <c r="BO49" i="9"/>
  <c r="BN57" i="9"/>
  <c r="BN73" i="9" s="1"/>
  <c r="BO41" i="9" s="1"/>
  <c r="BO105" i="9" s="1"/>
  <c r="BQ35" i="9"/>
  <c r="BQ99" i="9" s="1"/>
  <c r="BP85" i="9"/>
  <c r="BP117" i="9"/>
  <c r="BP83" i="9"/>
  <c r="BP115" i="9"/>
  <c r="BQ37" i="9"/>
  <c r="BQ101" i="9" s="1"/>
  <c r="BO56" i="9"/>
  <c r="BP50" i="9" l="1"/>
  <c r="BP66" i="9" s="1"/>
  <c r="BQ34" i="9" s="1"/>
  <c r="BQ98" i="9" s="1"/>
  <c r="BO96" i="9"/>
  <c r="BO112" i="9" s="1"/>
  <c r="BO48" i="9"/>
  <c r="BN55" i="9"/>
  <c r="BN71" i="9" s="1"/>
  <c r="BO39" i="9" s="1"/>
  <c r="BP100" i="9"/>
  <c r="BP116" i="9" s="1"/>
  <c r="BP52" i="9"/>
  <c r="BO74" i="9"/>
  <c r="BP42" i="9" s="1"/>
  <c r="BO90" i="9"/>
  <c r="BO118" i="9"/>
  <c r="BO54" i="9"/>
  <c r="BO86" i="9" s="1"/>
  <c r="E10" i="9" s="1"/>
  <c r="BO65" i="9"/>
  <c r="BP33" i="9" s="1"/>
  <c r="BP97" i="9" s="1"/>
  <c r="BO81" i="9"/>
  <c r="BN89" i="9"/>
  <c r="BO57" i="9"/>
  <c r="BO121" i="9"/>
  <c r="BO88" i="9"/>
  <c r="BO72" i="9"/>
  <c r="BQ53" i="9"/>
  <c r="BQ69" i="9" s="1"/>
  <c r="BO120" i="9"/>
  <c r="BQ51" i="9"/>
  <c r="BP82" i="9" l="1"/>
  <c r="BO64" i="9"/>
  <c r="BP32" i="9" s="1"/>
  <c r="BO80" i="9"/>
  <c r="E9" i="9" s="1"/>
  <c r="BN87" i="9"/>
  <c r="BO103" i="9"/>
  <c r="BO119" i="9" s="1"/>
  <c r="BO55" i="9"/>
  <c r="BP68" i="9"/>
  <c r="BQ36" i="9" s="1"/>
  <c r="BP84" i="9"/>
  <c r="BP106" i="9"/>
  <c r="BP122" i="9" s="1"/>
  <c r="BP58" i="9"/>
  <c r="BP113" i="9"/>
  <c r="BQ50" i="9"/>
  <c r="BQ114" i="9"/>
  <c r="BO70" i="9"/>
  <c r="BP38" i="9" s="1"/>
  <c r="BP102" i="9" s="1"/>
  <c r="BP49" i="9"/>
  <c r="BO73" i="9"/>
  <c r="BP41" i="9" s="1"/>
  <c r="BP105" i="9" s="1"/>
  <c r="BO89" i="9"/>
  <c r="BR37" i="9"/>
  <c r="BR101" i="9" s="1"/>
  <c r="BQ115" i="9"/>
  <c r="BQ83" i="9"/>
  <c r="BQ67" i="9"/>
  <c r="BQ85" i="9"/>
  <c r="BP40" i="9"/>
  <c r="BP104" i="9" s="1"/>
  <c r="BQ117" i="9"/>
  <c r="BP96" i="9" l="1"/>
  <c r="BP112" i="9" s="1"/>
  <c r="BP48" i="9"/>
  <c r="BQ100" i="9"/>
  <c r="BQ116" i="9" s="1"/>
  <c r="BQ52" i="9"/>
  <c r="BO71" i="9"/>
  <c r="BP39" i="9" s="1"/>
  <c r="BO87" i="9"/>
  <c r="BP90" i="9"/>
  <c r="BP74" i="9"/>
  <c r="BQ42" i="9" s="1"/>
  <c r="BS117" i="9"/>
  <c r="BS116" i="9"/>
  <c r="BQ66" i="9"/>
  <c r="BR34" i="9" s="1"/>
  <c r="BR98" i="9" s="1"/>
  <c r="BQ82" i="9"/>
  <c r="BP118" i="9"/>
  <c r="BP54" i="9"/>
  <c r="BP65" i="9"/>
  <c r="BQ33" i="9" s="1"/>
  <c r="BQ97" i="9" s="1"/>
  <c r="BP81" i="9"/>
  <c r="BP121" i="9"/>
  <c r="BP57" i="9"/>
  <c r="BR53" i="9"/>
  <c r="CN37" i="9"/>
  <c r="CM37" i="9" s="1"/>
  <c r="BR35" i="9"/>
  <c r="BR99" i="9" s="1"/>
  <c r="BP56" i="9"/>
  <c r="BP64" i="9" l="1"/>
  <c r="BQ32" i="9" s="1"/>
  <c r="BP80" i="9"/>
  <c r="F9" i="9" s="1"/>
  <c r="BP103" i="9"/>
  <c r="BP119" i="9" s="1"/>
  <c r="BP55" i="9"/>
  <c r="BQ68" i="9"/>
  <c r="BR36" i="9" s="1"/>
  <c r="BQ84" i="9"/>
  <c r="BQ106" i="9"/>
  <c r="BQ122" i="9" s="1"/>
  <c r="BQ58" i="9"/>
  <c r="BS115" i="9"/>
  <c r="BS114" i="9"/>
  <c r="BS112" i="9"/>
  <c r="BS119" i="9"/>
  <c r="BR50" i="9"/>
  <c r="CN34" i="9"/>
  <c r="CM34" i="9" s="1"/>
  <c r="BP70" i="9"/>
  <c r="BQ38" i="9" s="1"/>
  <c r="BQ102" i="9" s="1"/>
  <c r="BP86" i="9"/>
  <c r="F10" i="9" s="1"/>
  <c r="BQ113" i="9"/>
  <c r="BQ49" i="9"/>
  <c r="BP73" i="9"/>
  <c r="BQ41" i="9" s="1"/>
  <c r="BQ105" i="9" s="1"/>
  <c r="BP89" i="9"/>
  <c r="BR51" i="9"/>
  <c r="CN35" i="9"/>
  <c r="CM35" i="9" s="1"/>
  <c r="BR85" i="9"/>
  <c r="CN85" i="9" s="1"/>
  <c r="CM85" i="9" s="1"/>
  <c r="CN53" i="9"/>
  <c r="CM53" i="9" s="1"/>
  <c r="BR117" i="9"/>
  <c r="CN117" i="9" s="1"/>
  <c r="CM117" i="9" s="1"/>
  <c r="CN101" i="9"/>
  <c r="CM101" i="9" s="1"/>
  <c r="BR69" i="9"/>
  <c r="CN69" i="9" s="1"/>
  <c r="CM69" i="9" s="1"/>
  <c r="BP88" i="9"/>
  <c r="BP120" i="9"/>
  <c r="BP72" i="9"/>
  <c r="BQ96" i="9" l="1"/>
  <c r="BQ112" i="9" s="1"/>
  <c r="BQ48" i="9"/>
  <c r="BQ80" i="9" s="1"/>
  <c r="G9" i="9" s="1"/>
  <c r="BR100" i="9"/>
  <c r="BR52" i="9"/>
  <c r="CN36" i="9"/>
  <c r="CM36" i="9" s="1"/>
  <c r="BP71" i="9"/>
  <c r="BQ39" i="9" s="1"/>
  <c r="BP87" i="9"/>
  <c r="BQ74" i="9"/>
  <c r="BR42" i="9" s="1"/>
  <c r="BQ90" i="9"/>
  <c r="BR66" i="9"/>
  <c r="CN66" i="9" s="1"/>
  <c r="CM66" i="9" s="1"/>
  <c r="BR82" i="9"/>
  <c r="CN82" i="9" s="1"/>
  <c r="CM82" i="9" s="1"/>
  <c r="CN50" i="9"/>
  <c r="CM50" i="9" s="1"/>
  <c r="CN98" i="9"/>
  <c r="CM98" i="9" s="1"/>
  <c r="BR114" i="9"/>
  <c r="CN114" i="9" s="1"/>
  <c r="CM114" i="9" s="1"/>
  <c r="BQ118" i="9"/>
  <c r="BQ54" i="9"/>
  <c r="BQ65" i="9"/>
  <c r="BR33" i="9" s="1"/>
  <c r="BR97" i="9" s="1"/>
  <c r="BQ81" i="9"/>
  <c r="BQ121" i="9"/>
  <c r="BQ57" i="9"/>
  <c r="BR83" i="9"/>
  <c r="CN83" i="9" s="1"/>
  <c r="CM83" i="9" s="1"/>
  <c r="CN51" i="9"/>
  <c r="CM51" i="9" s="1"/>
  <c r="BR67" i="9"/>
  <c r="CN67" i="9" s="1"/>
  <c r="CM67" i="9" s="1"/>
  <c r="BR115" i="9"/>
  <c r="CN115" i="9" s="1"/>
  <c r="CM115" i="9" s="1"/>
  <c r="CN99" i="9"/>
  <c r="CM99" i="9" s="1"/>
  <c r="BQ40" i="9"/>
  <c r="BQ104" i="9" s="1"/>
  <c r="BQ64" i="9" l="1"/>
  <c r="BR32" i="9" s="1"/>
  <c r="BQ103" i="9"/>
  <c r="BQ55" i="9"/>
  <c r="BR68" i="9"/>
  <c r="CN68" i="9" s="1"/>
  <c r="CM68" i="9" s="1"/>
  <c r="BR84" i="9"/>
  <c r="CN84" i="9" s="1"/>
  <c r="CM84" i="9" s="1"/>
  <c r="CN52" i="9"/>
  <c r="CM52" i="9" s="1"/>
  <c r="BR116" i="9"/>
  <c r="CN116" i="9" s="1"/>
  <c r="CM116" i="9" s="1"/>
  <c r="CN100" i="9"/>
  <c r="CM100" i="9" s="1"/>
  <c r="BS122" i="9"/>
  <c r="BR106" i="9"/>
  <c r="BR58" i="9"/>
  <c r="CN42" i="9"/>
  <c r="CM42" i="9" s="1"/>
  <c r="BS113" i="9"/>
  <c r="BQ70" i="9"/>
  <c r="BR38" i="9" s="1"/>
  <c r="BR102" i="9" s="1"/>
  <c r="BQ86" i="9"/>
  <c r="G10" i="9" s="1"/>
  <c r="CN33" i="9"/>
  <c r="CM33" i="9" s="1"/>
  <c r="BR49" i="9"/>
  <c r="BQ73" i="9"/>
  <c r="BR41" i="9" s="1"/>
  <c r="BR105" i="9" s="1"/>
  <c r="BQ89" i="9"/>
  <c r="BQ56" i="9"/>
  <c r="BR96" i="9" l="1"/>
  <c r="BR48" i="9"/>
  <c r="CN32" i="9"/>
  <c r="CM32" i="9" s="1"/>
  <c r="BQ71" i="9"/>
  <c r="BR39" i="9" s="1"/>
  <c r="BQ87" i="9"/>
  <c r="BQ119" i="9"/>
  <c r="BR90" i="9"/>
  <c r="CN90" i="9" s="1"/>
  <c r="CM90" i="9" s="1"/>
  <c r="CN58" i="9"/>
  <c r="CM58" i="9" s="1"/>
  <c r="BR122" i="9"/>
  <c r="CN122" i="9" s="1"/>
  <c r="CM122" i="9" s="1"/>
  <c r="CN106" i="9"/>
  <c r="CM106" i="9" s="1"/>
  <c r="BR74" i="9"/>
  <c r="CN74" i="9" s="1"/>
  <c r="CM74" i="9" s="1"/>
  <c r="BS121" i="9"/>
  <c r="BS118" i="9"/>
  <c r="CN38" i="9"/>
  <c r="CM38" i="9" s="1"/>
  <c r="BR54" i="9"/>
  <c r="BR113" i="9"/>
  <c r="CN113" i="9" s="1"/>
  <c r="CM113" i="9" s="1"/>
  <c r="CN97" i="9"/>
  <c r="CM97" i="9" s="1"/>
  <c r="BR65" i="9"/>
  <c r="CN65" i="9" s="1"/>
  <c r="CM65" i="9" s="1"/>
  <c r="BR81" i="9"/>
  <c r="CN81" i="9" s="1"/>
  <c r="CM81" i="9" s="1"/>
  <c r="CN49" i="9"/>
  <c r="CM49" i="9" s="1"/>
  <c r="BR57" i="9"/>
  <c r="CN41" i="9"/>
  <c r="CM41" i="9" s="1"/>
  <c r="BQ88" i="9"/>
  <c r="BQ72" i="9"/>
  <c r="BQ120" i="9"/>
  <c r="BR64" i="9" l="1"/>
  <c r="CN64" i="9" s="1"/>
  <c r="CM64" i="9" s="1"/>
  <c r="BR80" i="9"/>
  <c r="CN48" i="9"/>
  <c r="CM48" i="9" s="1"/>
  <c r="CN96" i="9"/>
  <c r="CM96" i="9" s="1"/>
  <c r="BR112" i="9"/>
  <c r="CN112" i="9" s="1"/>
  <c r="CM112" i="9" s="1"/>
  <c r="BR103" i="9"/>
  <c r="BR55" i="9"/>
  <c r="CN39" i="9"/>
  <c r="CM39" i="9" s="1"/>
  <c r="BR70" i="9"/>
  <c r="CN70" i="9" s="1"/>
  <c r="CM70" i="9" s="1"/>
  <c r="BR86" i="9"/>
  <c r="CN54" i="9"/>
  <c r="CM54" i="9" s="1"/>
  <c r="BR118" i="9"/>
  <c r="CN118" i="9" s="1"/>
  <c r="CM118" i="9" s="1"/>
  <c r="CN102" i="9"/>
  <c r="CM102" i="9" s="1"/>
  <c r="BR121" i="9"/>
  <c r="CN121" i="9" s="1"/>
  <c r="CM121" i="9" s="1"/>
  <c r="CN105" i="9"/>
  <c r="CM105" i="9" s="1"/>
  <c r="BR73" i="9"/>
  <c r="CN73" i="9" s="1"/>
  <c r="CM73" i="9" s="1"/>
  <c r="BR89" i="9"/>
  <c r="CN89" i="9" s="1"/>
  <c r="CM89" i="9" s="1"/>
  <c r="CN57" i="9"/>
  <c r="CM57" i="9" s="1"/>
  <c r="BR40" i="9"/>
  <c r="BR104" i="9" s="1"/>
  <c r="BS47" i="9"/>
  <c r="BS79" i="9" s="1"/>
  <c r="CN86" i="9" l="1"/>
  <c r="CM86" i="9" s="1"/>
  <c r="H10" i="9"/>
  <c r="CN80" i="9"/>
  <c r="CM80" i="9" s="1"/>
  <c r="H9" i="9"/>
  <c r="BR71" i="9"/>
  <c r="CN71" i="9" s="1"/>
  <c r="CM71" i="9" s="1"/>
  <c r="BR87" i="9"/>
  <c r="CN87" i="9" s="1"/>
  <c r="CM87" i="9" s="1"/>
  <c r="CN55" i="9"/>
  <c r="CM55" i="9" s="1"/>
  <c r="BR119" i="9"/>
  <c r="CN119" i="9" s="1"/>
  <c r="CM119" i="9" s="1"/>
  <c r="CN103" i="9"/>
  <c r="CM103" i="9" s="1"/>
  <c r="BS120" i="9"/>
  <c r="BS63" i="9"/>
  <c r="BT31" i="9" s="1"/>
  <c r="BT95" i="9" s="1"/>
  <c r="BR56" i="9"/>
  <c r="BR72" i="9" s="1"/>
  <c r="CN72" i="9" s="1"/>
  <c r="CM72" i="9" s="1"/>
  <c r="CN40" i="9"/>
  <c r="CM40" i="9" s="1"/>
  <c r="BT47" i="9" l="1"/>
  <c r="BT79" i="9" s="1"/>
  <c r="BR88" i="9"/>
  <c r="CN88" i="9" s="1"/>
  <c r="CM88" i="9" s="1"/>
  <c r="CN56" i="9"/>
  <c r="CM56" i="9" s="1"/>
  <c r="BR120" i="9"/>
  <c r="CN120" i="9" s="1"/>
  <c r="CM120" i="9" s="1"/>
  <c r="CN104" i="9"/>
  <c r="CM104" i="9" s="1"/>
  <c r="BT111" i="9"/>
  <c r="BT63" i="9" l="1"/>
  <c r="BU31" i="9" s="1"/>
  <c r="BU95" i="9" s="1"/>
  <c r="BU47" i="9" l="1"/>
  <c r="BU79" i="9" l="1"/>
  <c r="BU111" i="9"/>
  <c r="BU63" i="9"/>
  <c r="BV31" i="9" l="1"/>
  <c r="BV95" i="9" s="1"/>
  <c r="BV47" i="9" l="1"/>
  <c r="BV63" i="9" s="1"/>
  <c r="BW31" i="9" l="1"/>
  <c r="BW95" i="9" s="1"/>
  <c r="BV79" i="9"/>
  <c r="BV111" i="9"/>
  <c r="BW47" i="9" l="1"/>
  <c r="BW79" i="9" l="1"/>
  <c r="BW111" i="9"/>
  <c r="BW63" i="9"/>
  <c r="BX31" i="9" l="1"/>
  <c r="BX95" i="9" s="1"/>
  <c r="BX47" i="9" l="1"/>
  <c r="BX63" i="9" s="1"/>
  <c r="BY31" i="9" l="1"/>
  <c r="BY95" i="9" s="1"/>
  <c r="BX79" i="9"/>
  <c r="BX111" i="9"/>
  <c r="BY111" i="9" l="1"/>
  <c r="BY47" i="9"/>
  <c r="BY79" i="9" s="1"/>
  <c r="BY63" i="9" l="1"/>
  <c r="BZ31" i="9" s="1"/>
  <c r="BZ95" i="9" s="1"/>
  <c r="BZ111" i="9" l="1"/>
  <c r="BZ47" i="9"/>
  <c r="BZ79" i="9" s="1"/>
  <c r="BZ63" i="9" l="1"/>
  <c r="CA31" i="9" s="1"/>
  <c r="CA95" i="9" s="1"/>
  <c r="CA111" i="9" l="1"/>
  <c r="CA47" i="9"/>
  <c r="CA79" i="9" s="1"/>
  <c r="CA63" i="9" l="1"/>
  <c r="CB31" i="9" s="1"/>
  <c r="CB95" i="9" s="1"/>
  <c r="CB111" i="9" l="1"/>
  <c r="CB47" i="9"/>
  <c r="CB79" i="9" s="1"/>
  <c r="CB63" i="9" l="1"/>
  <c r="CC31" i="9" s="1"/>
  <c r="CC95" i="9" s="1"/>
  <c r="CC111" i="9" l="1"/>
  <c r="CC47" i="9"/>
  <c r="CC79" i="9" s="1"/>
  <c r="CC63" i="9" l="1"/>
  <c r="CD31" i="9" s="1"/>
  <c r="CD95" i="9" s="1"/>
  <c r="CD111" i="9" l="1"/>
  <c r="CD47" i="9"/>
  <c r="CD79" i="9" s="1"/>
  <c r="CD63" i="9" l="1"/>
  <c r="CE31" i="9" s="1"/>
  <c r="CE95" i="9" s="1"/>
  <c r="CE47" i="9" l="1"/>
  <c r="CE79" i="9" s="1"/>
  <c r="CE111" i="9"/>
  <c r="CE63" i="9" l="1"/>
  <c r="CF31" i="9" s="1"/>
  <c r="CF95" i="9" l="1"/>
  <c r="CF111" i="9" s="1"/>
  <c r="CF47" i="9"/>
  <c r="CF79" i="9" s="1"/>
  <c r="CF63" i="9" l="1"/>
  <c r="CG31" i="9" s="1"/>
  <c r="CG47" i="9" s="1"/>
  <c r="CG79" i="9" s="1"/>
  <c r="CG95" i="9" l="1"/>
  <c r="CG111" i="9" s="1"/>
  <c r="CG63" i="9"/>
  <c r="CH31" i="9" s="1"/>
  <c r="CH95" i="9" s="1"/>
  <c r="CH111" i="9" l="1"/>
  <c r="CH47" i="9"/>
  <c r="CH79" i="9" s="1"/>
  <c r="CH63" i="9" l="1"/>
  <c r="CI31" i="9" s="1"/>
  <c r="CI95" i="9" s="1"/>
  <c r="CI47" i="9" l="1"/>
  <c r="CI63" i="9" s="1"/>
  <c r="CL31" i="9"/>
  <c r="CL43" i="9" s="1"/>
  <c r="CJ31" i="9" l="1"/>
  <c r="CJ95" i="9" s="1"/>
  <c r="CL63" i="9"/>
  <c r="CL75" i="9" s="1"/>
  <c r="CI111" i="9"/>
  <c r="CL111" i="9" s="1"/>
  <c r="CL123" i="9" s="1"/>
  <c r="BO8" i="9" s="1"/>
  <c r="CL95" i="9"/>
  <c r="CL107" i="9" s="1"/>
  <c r="BL8" i="9" s="1"/>
  <c r="CI79" i="9"/>
  <c r="CL79" i="9" s="1"/>
  <c r="CL91" i="9" s="1"/>
  <c r="CL47" i="9"/>
  <c r="CL59" i="9" s="1"/>
  <c r="C7" i="12" s="1"/>
  <c r="C35" i="12" l="1"/>
  <c r="I35" i="12" s="1"/>
  <c r="L35" i="12" s="1"/>
  <c r="Q35" i="12" s="1"/>
  <c r="T35" i="12" s="1"/>
  <c r="C32" i="12"/>
  <c r="I32" i="12" s="1"/>
  <c r="C36" i="12"/>
  <c r="I36" i="12" s="1"/>
  <c r="L36" i="12" s="1"/>
  <c r="Q36" i="12" s="1"/>
  <c r="T36" i="12" s="1"/>
  <c r="C33" i="12"/>
  <c r="I33" i="12" s="1"/>
  <c r="L33" i="12" s="1"/>
  <c r="Q33" i="12" s="1"/>
  <c r="T33" i="12" s="1"/>
  <c r="C34" i="12"/>
  <c r="I34" i="12" s="1"/>
  <c r="L34" i="12" s="1"/>
  <c r="Q34" i="12" s="1"/>
  <c r="T34" i="12" s="1"/>
  <c r="C8" i="12"/>
  <c r="C10" i="12"/>
  <c r="C13" i="12"/>
  <c r="C17" i="12"/>
  <c r="C21" i="12"/>
  <c r="C25" i="12"/>
  <c r="C29" i="12"/>
  <c r="C11" i="12"/>
  <c r="C15" i="12"/>
  <c r="C23" i="12"/>
  <c r="C28" i="12"/>
  <c r="C9" i="12"/>
  <c r="C14" i="12"/>
  <c r="C18" i="12"/>
  <c r="C22" i="12"/>
  <c r="C26" i="12"/>
  <c r="C30" i="12"/>
  <c r="C19" i="12"/>
  <c r="C31" i="12"/>
  <c r="C12" i="12"/>
  <c r="C20" i="12"/>
  <c r="C27" i="12"/>
  <c r="C16" i="12"/>
  <c r="C24" i="12"/>
  <c r="BL7" i="9"/>
  <c r="BO7" i="9" s="1"/>
  <c r="BO9" i="9" s="1"/>
  <c r="CJ47" i="9"/>
  <c r="CJ79" i="9" s="1"/>
  <c r="CJ111" i="9"/>
  <c r="L32" i="12" l="1"/>
  <c r="Q32" i="12" s="1"/>
  <c r="T32" i="12" s="1"/>
  <c r="CJ63" i="9"/>
  <c r="BM31" i="9" s="1"/>
  <c r="BM95" i="9" s="1"/>
  <c r="BM47" i="9" l="1"/>
  <c r="BM63" i="9" s="1"/>
  <c r="BN31" i="9" l="1"/>
  <c r="BN95" i="9" s="1"/>
  <c r="BM79" i="9"/>
  <c r="BM111" i="9"/>
  <c r="BN47" i="9" l="1"/>
  <c r="BN63" i="9" s="1"/>
  <c r="BN79" i="9" l="1"/>
  <c r="BN111" i="9"/>
  <c r="BO31" i="9"/>
  <c r="BO95" i="9" s="1"/>
  <c r="BO47" i="9" l="1"/>
  <c r="BO79" i="9" l="1"/>
  <c r="BO111" i="9"/>
  <c r="BO63" i="9"/>
  <c r="BP31" i="9" l="1"/>
  <c r="BP95" i="9" s="1"/>
  <c r="BP47" i="9" l="1"/>
  <c r="BP63" i="9" s="1"/>
  <c r="BQ31" i="9" l="1"/>
  <c r="BQ95" i="9" s="1"/>
  <c r="BP111" i="9"/>
  <c r="BP79" i="9"/>
  <c r="BQ47" i="9" l="1"/>
  <c r="BQ63" i="9" s="1"/>
  <c r="BR31" i="9" l="1"/>
  <c r="BQ111" i="9"/>
  <c r="BQ79" i="9"/>
  <c r="BR95" i="9" l="1"/>
  <c r="BS111" i="9"/>
  <c r="BR47" i="9"/>
  <c r="T8" i="11" s="1"/>
  <c r="CN31" i="9"/>
  <c r="CM31" i="9" l="1"/>
  <c r="CM43" i="9" s="1"/>
  <c r="CN43" i="9"/>
  <c r="BR79" i="9"/>
  <c r="CN79" i="9" s="1"/>
  <c r="CN47" i="9"/>
  <c r="BR63" i="9"/>
  <c r="CN63" i="9" s="1"/>
  <c r="BR111" i="9"/>
  <c r="CN111" i="9" s="1"/>
  <c r="CN95" i="9"/>
  <c r="CN59" i="9" l="1"/>
  <c r="CM47" i="9"/>
  <c r="CM59" i="9" s="1"/>
  <c r="D7" i="12" s="1"/>
  <c r="CN91" i="9"/>
  <c r="CM79" i="9"/>
  <c r="CM91" i="9" s="1"/>
  <c r="CM111" i="9"/>
  <c r="CM123" i="9" s="1"/>
  <c r="BP8" i="9" s="1"/>
  <c r="CN123" i="9"/>
  <c r="CM95" i="9"/>
  <c r="CM107" i="9" s="1"/>
  <c r="BM8" i="9" s="1"/>
  <c r="BN8" i="9" s="1"/>
  <c r="M6" i="11" s="1"/>
  <c r="CN107" i="9"/>
  <c r="E7" i="12" s="1"/>
  <c r="CN75" i="9"/>
  <c r="CM63" i="9"/>
  <c r="CM75" i="9" s="1"/>
  <c r="H6" i="12" l="1"/>
  <c r="H7" i="12" s="1"/>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E8" i="12"/>
  <c r="E15" i="12"/>
  <c r="E27" i="12"/>
  <c r="E14" i="12"/>
  <c r="E29" i="12"/>
  <c r="E13" i="12"/>
  <c r="E16" i="12"/>
  <c r="E21" i="12"/>
  <c r="E24" i="12"/>
  <c r="E19" i="12"/>
  <c r="E22" i="12"/>
  <c r="E18" i="12"/>
  <c r="E20" i="12"/>
  <c r="E11" i="12"/>
  <c r="E23" i="12"/>
  <c r="E10" i="12"/>
  <c r="E25" i="12"/>
  <c r="E9" i="12"/>
  <c r="E28" i="12"/>
  <c r="E12" i="12"/>
  <c r="E26" i="12"/>
  <c r="E30" i="12"/>
  <c r="E31" i="12"/>
  <c r="E17" i="12"/>
  <c r="D8" i="12"/>
  <c r="D31" i="12"/>
  <c r="D30" i="12"/>
  <c r="D10" i="12"/>
  <c r="D21" i="12"/>
  <c r="D28" i="12"/>
  <c r="D12" i="12"/>
  <c r="D11" i="12"/>
  <c r="D9" i="12"/>
  <c r="D23" i="12"/>
  <c r="D22" i="12"/>
  <c r="D27" i="12"/>
  <c r="D17" i="12"/>
  <c r="D24" i="12"/>
  <c r="D15" i="12"/>
  <c r="D14" i="12"/>
  <c r="D19" i="12"/>
  <c r="D26" i="12"/>
  <c r="D29" i="12"/>
  <c r="D13" i="12"/>
  <c r="D20" i="12"/>
  <c r="D18" i="12"/>
  <c r="D25" i="12"/>
  <c r="D16" i="12"/>
  <c r="BM7" i="9"/>
  <c r="BN7" i="9" s="1"/>
  <c r="I7" i="12" l="1"/>
  <c r="I22" i="12"/>
  <c r="L22" i="12" s="1"/>
  <c r="I20" i="12"/>
  <c r="I14" i="12"/>
  <c r="L14" i="12" s="1"/>
  <c r="I25" i="12"/>
  <c r="L25" i="12" s="1"/>
  <c r="I29" i="12"/>
  <c r="L29" i="12" s="1"/>
  <c r="I15" i="12"/>
  <c r="L15" i="12" s="1"/>
  <c r="I13" i="12"/>
  <c r="I30" i="12"/>
  <c r="I19" i="12"/>
  <c r="I16" i="12"/>
  <c r="I27" i="12"/>
  <c r="I26" i="12"/>
  <c r="I24" i="12"/>
  <c r="I23" i="12"/>
  <c r="I28" i="12"/>
  <c r="I31" i="12"/>
  <c r="I12" i="12"/>
  <c r="I18" i="12"/>
  <c r="I17" i="12"/>
  <c r="I21" i="12"/>
  <c r="BP7" i="9"/>
  <c r="BP9" i="9" s="1"/>
  <c r="P6" i="11" s="1"/>
  <c r="I11" i="12"/>
  <c r="I10" i="12"/>
  <c r="I9" i="12"/>
  <c r="I8" i="12"/>
  <c r="L7" i="12" l="1"/>
  <c r="Q7" i="12" s="1"/>
  <c r="I2" i="12"/>
  <c r="I3" i="12"/>
  <c r="I4" i="12"/>
  <c r="L20" i="12"/>
  <c r="L13" i="12"/>
  <c r="L19" i="12"/>
  <c r="L21" i="12"/>
  <c r="L31" i="12"/>
  <c r="L30" i="12"/>
  <c r="L28" i="12"/>
  <c r="L27" i="12"/>
  <c r="L18" i="12"/>
  <c r="L23" i="12"/>
  <c r="L16" i="12"/>
  <c r="O6" i="11"/>
  <c r="Q6" i="11" s="1"/>
  <c r="L17" i="12"/>
  <c r="L26" i="12"/>
  <c r="L24" i="12"/>
  <c r="L12" i="12"/>
  <c r="L9" i="12"/>
  <c r="Q9" i="12" s="1"/>
  <c r="T9" i="12" s="1"/>
  <c r="L11" i="12"/>
  <c r="Q11" i="12" s="1"/>
  <c r="T11" i="12" s="1"/>
  <c r="L8" i="12"/>
  <c r="Q8" i="12" s="1"/>
  <c r="T8" i="12" s="1"/>
  <c r="L10" i="12"/>
  <c r="Q10" i="12" s="1"/>
  <c r="T10" i="12" s="1"/>
  <c r="T7" i="12" l="1"/>
  <c r="U7" i="12" s="1"/>
  <c r="U8" i="12" s="1"/>
  <c r="U9" i="12" s="1"/>
  <c r="U10" i="12" s="1"/>
  <c r="U11" i="12" s="1"/>
  <c r="S7" i="12"/>
  <c r="S8" i="12" s="1"/>
  <c r="S9" i="12" s="1"/>
  <c r="S10" i="12" s="1"/>
  <c r="S11" i="12" s="1"/>
  <c r="N16" i="12"/>
  <c r="N18" i="12"/>
  <c r="Q18" i="12" s="1"/>
  <c r="T18" i="12" s="1"/>
  <c r="N19" i="12"/>
  <c r="N20" i="12"/>
  <c r="Q20" i="12" s="1"/>
  <c r="T20" i="12" s="1"/>
  <c r="N21" i="12"/>
  <c r="Q16" i="12"/>
  <c r="T16" i="12" s="1"/>
  <c r="Q19" i="12"/>
  <c r="T19" i="12" s="1"/>
  <c r="Q21" i="12"/>
  <c r="T21" i="12" s="1"/>
  <c r="N15" i="12" l="1"/>
  <c r="Q15" i="12" s="1"/>
  <c r="T15" i="12" s="1"/>
  <c r="N12" i="12"/>
  <c r="N17" i="12"/>
  <c r="Q17" i="12" s="1"/>
  <c r="T17" i="12" s="1"/>
  <c r="N13" i="12"/>
  <c r="Q13" i="12" s="1"/>
  <c r="T13" i="12" s="1"/>
  <c r="P12" i="12" l="1"/>
  <c r="Q12" i="12"/>
  <c r="S12" i="12" l="1"/>
  <c r="S13" i="12" s="1"/>
  <c r="T12" i="12"/>
  <c r="U12" i="12" s="1"/>
  <c r="U13" i="12" s="1"/>
  <c r="O13" i="12"/>
  <c r="P13" i="12" s="1"/>
  <c r="O14" i="12" l="1"/>
  <c r="N14" i="12"/>
  <c r="Q14" i="12"/>
  <c r="S14" i="12" s="1"/>
  <c r="S15" i="12" s="1"/>
  <c r="S16" i="12" s="1"/>
  <c r="S17" i="12" s="1"/>
  <c r="S18" i="12" s="1"/>
  <c r="S19" i="12" s="1"/>
  <c r="S20" i="12" s="1"/>
  <c r="S21" i="12" s="1"/>
  <c r="T14" i="12" l="1"/>
  <c r="U14" i="12" s="1"/>
  <c r="U15" i="12" s="1"/>
  <c r="U16" i="12" s="1"/>
  <c r="U17" i="12" s="1"/>
  <c r="U18" i="12" s="1"/>
  <c r="U19" i="12" s="1"/>
  <c r="U20" i="12" s="1"/>
  <c r="U21" i="12" s="1"/>
  <c r="P14" i="12"/>
  <c r="O15" i="12"/>
  <c r="P15" i="12" s="1"/>
  <c r="O16" i="12" l="1"/>
  <c r="P16" i="12" s="1"/>
  <c r="O17" i="12" l="1"/>
  <c r="P17" i="12" s="1"/>
  <c r="O18" i="12" l="1"/>
  <c r="P18" i="12" s="1"/>
  <c r="O19" i="12" l="1"/>
  <c r="P19" i="12" s="1"/>
  <c r="O20" i="12" l="1"/>
  <c r="P20" i="12" s="1"/>
  <c r="O21" i="12" l="1"/>
  <c r="P21" i="12" s="1"/>
  <c r="O22" i="12" l="1"/>
  <c r="N23" i="12" l="1"/>
  <c r="Q23" i="12" s="1"/>
  <c r="T23" i="12" s="1"/>
  <c r="N27" i="12"/>
  <c r="Q27" i="12" s="1"/>
  <c r="T27" i="12" s="1"/>
  <c r="N31" i="12"/>
  <c r="Q31" i="12" s="1"/>
  <c r="T31" i="12" s="1"/>
  <c r="N24" i="12"/>
  <c r="Q24" i="12" s="1"/>
  <c r="T24" i="12" s="1"/>
  <c r="N28" i="12"/>
  <c r="Q28" i="12" s="1"/>
  <c r="T28" i="12" s="1"/>
  <c r="N25" i="12"/>
  <c r="Q25" i="12" s="1"/>
  <c r="T25" i="12" s="1"/>
  <c r="N29" i="12"/>
  <c r="Q29" i="12" s="1"/>
  <c r="T29" i="12" s="1"/>
  <c r="N22" i="12"/>
  <c r="N26" i="12"/>
  <c r="Q26" i="12" s="1"/>
  <c r="T26" i="12" s="1"/>
  <c r="N30" i="12"/>
  <c r="Q30" i="12" s="1"/>
  <c r="T30" i="12" s="1"/>
  <c r="Q22" i="12" l="1"/>
  <c r="P22" i="12"/>
  <c r="O23" i="12" l="1"/>
  <c r="P23" i="12" s="1"/>
  <c r="T22" i="12"/>
  <c r="U22" i="12" s="1"/>
  <c r="U23" i="12" s="1"/>
  <c r="U24" i="12" s="1"/>
  <c r="U25" i="12" s="1"/>
  <c r="U26" i="12" s="1"/>
  <c r="U27" i="12" s="1"/>
  <c r="U28" i="12" s="1"/>
  <c r="U29" i="12" s="1"/>
  <c r="U30" i="12" s="1"/>
  <c r="U31" i="12" s="1"/>
  <c r="U32" i="12" s="1"/>
  <c r="U33" i="12" s="1"/>
  <c r="U34" i="12" s="1"/>
  <c r="U35" i="12" s="1"/>
  <c r="U36" i="12" s="1"/>
  <c r="R6" i="11"/>
  <c r="S22" i="12"/>
  <c r="S23" i="12" s="1"/>
  <c r="S24" i="12" s="1"/>
  <c r="S25" i="12" s="1"/>
  <c r="S26" i="12" s="1"/>
  <c r="S27" i="12" s="1"/>
  <c r="S28" i="12" s="1"/>
  <c r="S29" i="12" s="1"/>
  <c r="S30" i="12" s="1"/>
  <c r="S31" i="12" s="1"/>
  <c r="S32" i="12" s="1"/>
  <c r="S33" i="12" s="1"/>
  <c r="S34" i="12" s="1"/>
  <c r="S35" i="12" s="1"/>
  <c r="S36" i="12" s="1"/>
  <c r="O24" i="12" l="1"/>
  <c r="P24" i="12" s="1"/>
  <c r="O25" i="12" l="1"/>
  <c r="P25" i="12" s="1"/>
  <c r="O26" i="12" l="1"/>
  <c r="P26" i="12" s="1"/>
  <c r="O27" i="12" l="1"/>
  <c r="P27" i="12" s="1"/>
  <c r="O28" i="12" l="1"/>
  <c r="P28" i="12" s="1"/>
  <c r="O29" i="12" l="1"/>
  <c r="P29" i="12" s="1"/>
  <c r="O30" i="12" l="1"/>
  <c r="P30" i="12" s="1"/>
  <c r="O31" i="12" l="1"/>
  <c r="P31" i="12" s="1"/>
  <c r="O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Astall</author>
  </authors>
  <commentList>
    <comment ref="B25" authorId="0" shapeId="0" xr:uid="{00000000-0006-0000-0100-000001000000}">
      <text>
        <r>
          <rPr>
            <b/>
            <sz val="9"/>
            <color indexed="81"/>
            <rFont val="Tahoma"/>
            <family val="2"/>
          </rPr>
          <t>Grant Astall:</t>
        </r>
        <r>
          <rPr>
            <sz val="9"/>
            <color indexed="81"/>
            <rFont val="Tahoma"/>
            <family val="2"/>
          </rPr>
          <t xml:space="preserve">
This is a year zero utility rate multiplier. 100% implies rates as of June 2017.</t>
        </r>
      </text>
    </comment>
  </commentList>
</comments>
</file>

<file path=xl/sharedStrings.xml><?xml version="1.0" encoding="utf-8"?>
<sst xmlns="http://schemas.openxmlformats.org/spreadsheetml/2006/main" count="645" uniqueCount="278">
  <si>
    <t>Jan</t>
  </si>
  <si>
    <t>Feb</t>
  </si>
  <si>
    <t>Mar</t>
  </si>
  <si>
    <t>Apr</t>
  </si>
  <si>
    <t>May</t>
  </si>
  <si>
    <t>Jun</t>
  </si>
  <si>
    <t>Jul</t>
  </si>
  <si>
    <t>Aug</t>
  </si>
  <si>
    <t>Sep</t>
  </si>
  <si>
    <t>Oct</t>
  </si>
  <si>
    <t>Nov</t>
  </si>
  <si>
    <t>Dec</t>
  </si>
  <si>
    <t>Hour</t>
  </si>
  <si>
    <t>Peak</t>
  </si>
  <si>
    <t>Offpeak</t>
  </si>
  <si>
    <t>Days</t>
  </si>
  <si>
    <t>kWh</t>
  </si>
  <si>
    <t>/kW</t>
  </si>
  <si>
    <t>Year</t>
  </si>
  <si>
    <t>kW</t>
  </si>
  <si>
    <t>Average Daily Energy (kWh)</t>
  </si>
  <si>
    <t>Date</t>
  </si>
  <si>
    <t>Monthly kWh</t>
  </si>
  <si>
    <t xml:space="preserve">Solar Energy Production </t>
  </si>
  <si>
    <t>Battery Size</t>
  </si>
  <si>
    <t>Battery Cost</t>
  </si>
  <si>
    <t>kWh/kW</t>
  </si>
  <si>
    <t>/kWh</t>
  </si>
  <si>
    <t>Unit</t>
  </si>
  <si>
    <t>Energy Used, kWh</t>
  </si>
  <si>
    <t>Net Energy Profile</t>
  </si>
  <si>
    <t>Export, kWh</t>
  </si>
  <si>
    <t>Without Batteries</t>
  </si>
  <si>
    <t>Peak, kWh</t>
  </si>
  <si>
    <t>Offpeak, kWh</t>
  </si>
  <si>
    <t>Peak, $</t>
  </si>
  <si>
    <t>Offpeak, $</t>
  </si>
  <si>
    <t>Export</t>
  </si>
  <si>
    <t>Regular Export</t>
  </si>
  <si>
    <t>Array Cost</t>
  </si>
  <si>
    <t>Total Generation</t>
  </si>
  <si>
    <t>Generation Used</t>
  </si>
  <si>
    <t>Existing Energy Use</t>
  </si>
  <si>
    <t>Total, kWh</t>
  </si>
  <si>
    <t>% Exported</t>
  </si>
  <si>
    <t>Simple Payback Period</t>
  </si>
  <si>
    <t>Option 1 Savings</t>
  </si>
  <si>
    <t>Inputs</t>
  </si>
  <si>
    <t>Cumulative Charge</t>
  </si>
  <si>
    <t>Remaining Import</t>
  </si>
  <si>
    <t>Available for Battery</t>
  </si>
  <si>
    <t>Charge remaining</t>
  </si>
  <si>
    <t>Charge Used</t>
  </si>
  <si>
    <t>Remaining Export</t>
  </si>
  <si>
    <t>Solar Production, kWh</t>
  </si>
  <si>
    <t>Discount Rate</t>
  </si>
  <si>
    <t>p.a.</t>
  </si>
  <si>
    <t>years</t>
  </si>
  <si>
    <t>NPV Term</t>
  </si>
  <si>
    <t>Revision:</t>
  </si>
  <si>
    <t>Variable</t>
  </si>
  <si>
    <t>Utility Escalation</t>
  </si>
  <si>
    <t>Cost</t>
  </si>
  <si>
    <t>Reduction</t>
  </si>
  <si>
    <t>Years</t>
  </si>
  <si>
    <t>% Sold</t>
  </si>
  <si>
    <t>Array Infrastructure</t>
  </si>
  <si>
    <t>Array Size</t>
  </si>
  <si>
    <t>Location</t>
  </si>
  <si>
    <t>Rates</t>
  </si>
  <si>
    <t>Sell/Retire</t>
  </si>
  <si>
    <t>Battery</t>
  </si>
  <si>
    <t>Yes/No</t>
  </si>
  <si>
    <t>Down Payment</t>
  </si>
  <si>
    <t>Interest</t>
  </si>
  <si>
    <t>Y</t>
  </si>
  <si>
    <t>N</t>
  </si>
  <si>
    <t>Melbourne</t>
  </si>
  <si>
    <t>Swan Hill</t>
  </si>
  <si>
    <t>No. of Councils</t>
  </si>
  <si>
    <t># Councils</t>
  </si>
  <si>
    <t>Array Size, kW</t>
  </si>
  <si>
    <t>% Net Renewable</t>
  </si>
  <si>
    <t>Existing Consumption, kWh</t>
  </si>
  <si>
    <t>With Batteries</t>
  </si>
  <si>
    <t>kWh/m^2</t>
  </si>
  <si>
    <t>% Increase</t>
  </si>
  <si>
    <t>Month</t>
  </si>
  <si>
    <t>% Scale</t>
  </si>
  <si>
    <t>Annual Consumption Unscaled</t>
  </si>
  <si>
    <t>Generation Exported</t>
  </si>
  <si>
    <t>Spot Price</t>
  </si>
  <si>
    <t>Export Savings, $</t>
  </si>
  <si>
    <t>Monthly $</t>
  </si>
  <si>
    <t>Peak kWh</t>
  </si>
  <si>
    <t>Off-Peak kWh</t>
  </si>
  <si>
    <t>Peak $</t>
  </si>
  <si>
    <t>Off-Peak $</t>
  </si>
  <si>
    <t>Export $</t>
  </si>
  <si>
    <t>Energy, $ p.a.</t>
  </si>
  <si>
    <t>Maintenance $</t>
  </si>
  <si>
    <t>Total Cashflow, $</t>
  </si>
  <si>
    <t>Repayment $</t>
  </si>
  <si>
    <t>Loan remaining</t>
  </si>
  <si>
    <t>LGC, $</t>
  </si>
  <si>
    <t>Maintenance</t>
  </si>
  <si>
    <t>This column is manual</t>
  </si>
  <si>
    <t>Array Deg.</t>
  </si>
  <si>
    <t>LOAN</t>
  </si>
  <si>
    <t>Comment</t>
  </si>
  <si>
    <t>LGCs</t>
  </si>
  <si>
    <t>Sell</t>
  </si>
  <si>
    <t>Retire</t>
  </si>
  <si>
    <t>Discounted Cashflow, $</t>
  </si>
  <si>
    <t>Net Discount Cashflow, $</t>
  </si>
  <si>
    <t>Net Cashflow, $</t>
  </si>
  <si>
    <t>Custom</t>
  </si>
  <si>
    <t>Spot Market (Y/N)?</t>
  </si>
  <si>
    <t>Legend:</t>
  </si>
  <si>
    <t>Area</t>
  </si>
  <si>
    <t>Instructions</t>
  </si>
  <si>
    <t>Cell is an input cell</t>
  </si>
  <si>
    <t>Cell is inactive</t>
  </si>
  <si>
    <t>SOLAR AND BATTERY SCENARIO CALCULATOR</t>
  </si>
  <si>
    <t>When using this tool, fill in the inputs as per the instructions outlined below</t>
  </si>
  <si>
    <t>All figures in this tool are ex. GST</t>
  </si>
  <si>
    <t>Array size should be compared with % net renewable (0-100%)</t>
  </si>
  <si>
    <t>Array cost has typical value of $2,500 per installed kW</t>
  </si>
  <si>
    <t>If manual export rate, enter here.</t>
  </si>
  <si>
    <t>Term over which project value is calculated. Typically 25 years for a large solar array.</t>
  </si>
  <si>
    <t>Typical Value</t>
  </si>
  <si>
    <t xml:space="preserve">Degradation of array production per year. </t>
  </si>
  <si>
    <t>Discount rate for NPV calculations</t>
  </si>
  <si>
    <t>Choose array location from drop down menu.</t>
  </si>
  <si>
    <t>Percent reduction in LGC value per year</t>
  </si>
  <si>
    <t>Percentage of total generated LGC's sold</t>
  </si>
  <si>
    <t>Drop down menu to apply battery storage condition</t>
  </si>
  <si>
    <t>Battery size in kWh</t>
  </si>
  <si>
    <t>Drop down menu to choose whether array is paid upfront or as a loan</t>
  </si>
  <si>
    <t>Percent down payment on loan</t>
  </si>
  <si>
    <t>1 - 90 MW</t>
  </si>
  <si>
    <t>2500 $/kW</t>
  </si>
  <si>
    <t>0.05 $/kW</t>
  </si>
  <si>
    <t>25 years</t>
  </si>
  <si>
    <t>20 $/kW</t>
  </si>
  <si>
    <t>Y/N</t>
  </si>
  <si>
    <t>5 years</t>
  </si>
  <si>
    <t>2000 $/kWh</t>
  </si>
  <si>
    <t>Guidelines and Assumptions</t>
  </si>
  <si>
    <t>Focus</t>
  </si>
  <si>
    <t>Notes</t>
  </si>
  <si>
    <t>Limitations</t>
  </si>
  <si>
    <t>Graphs</t>
  </si>
  <si>
    <t>Price escalation for utility rates</t>
  </si>
  <si>
    <t>Network Connection</t>
  </si>
  <si>
    <t>Economies of Scale</t>
  </si>
  <si>
    <t xml:space="preserve">        </t>
  </si>
  <si>
    <t xml:space="preserve">                       </t>
  </si>
  <si>
    <t xml:space="preserve">                                                                                         </t>
  </si>
  <si>
    <t xml:space="preserve">Grossly oversized batteries are not modelled appropriately. Battery size is capped such that battery storage never exceeds electricity demand </t>
  </si>
  <si>
    <t>Note that summary sheet graphs are driven by data in the "Working" sheet. This sheet has been hidden to avoid user error.</t>
  </si>
  <si>
    <t xml:space="preserve">Solar arrays are typically grouped by size category into residential (1-10 kW), commercial (10-200 kW) and utility or large scale above 200 kW. The cost of large scale solar does not predictably follow an economies of scale curve.  It is more instructive to provide a range of expected prices for large scale solar, ranging from $1.34/W to $4.00/W.  The large variance in cost is due to variable costs; namely integration to the electricity network.  The cost of panels, inverters, and mounting hardware is relatively stable for large scale solar, and great cost efficiencies are not guaranteed by exploring larger scale projects. </t>
  </si>
  <si>
    <t>Scenario Description</t>
  </si>
  <si>
    <t>Model Input Selection:</t>
  </si>
  <si>
    <t>LM Peak</t>
  </si>
  <si>
    <t>LM Offpeak</t>
  </si>
  <si>
    <t>SM Peak</t>
  </si>
  <si>
    <t>SM Offpeak</t>
  </si>
  <si>
    <t>PL Peak</t>
  </si>
  <si>
    <t>PL Offpeak</t>
  </si>
  <si>
    <t>Blended Peak</t>
  </si>
  <si>
    <t>Blended Offpeak</t>
  </si>
  <si>
    <t>PL</t>
  </si>
  <si>
    <t>SM</t>
  </si>
  <si>
    <t>LM</t>
  </si>
  <si>
    <t>Electricity Rates</t>
  </si>
  <si>
    <t>Large market peak electricity rate</t>
  </si>
  <si>
    <t>Large market offpeak electricity rate</t>
  </si>
  <si>
    <t>Small market peak electricity rate</t>
  </si>
  <si>
    <t>Small market offpeak electricity rate</t>
  </si>
  <si>
    <t>Public lighting peak electricity rate</t>
  </si>
  <si>
    <t>Public lighting offpeak electricity rate</t>
  </si>
  <si>
    <t>Financials</t>
  </si>
  <si>
    <t>Loan Y/N</t>
  </si>
  <si>
    <t>Change the input cells (orange) to change the scenario. See Model Notes sheet for more info.</t>
  </si>
  <si>
    <t>Loan Term 1</t>
  </si>
  <si>
    <t>Interest 1</t>
  </si>
  <si>
    <t>Loan Term 2</t>
  </si>
  <si>
    <t>Interest 2</t>
  </si>
  <si>
    <t>Second Loan Principal</t>
  </si>
  <si>
    <t>Loan repayments are formulated similar to an adjustable rate mortgage (ARM)</t>
  </si>
  <si>
    <t>Large Market</t>
  </si>
  <si>
    <t>Small Market</t>
  </si>
  <si>
    <t>Public Lighting</t>
  </si>
  <si>
    <t>All</t>
  </si>
  <si>
    <t>Land Size, ha</t>
  </si>
  <si>
    <t>Consumption Profile</t>
  </si>
  <si>
    <t>Warning: Array Size</t>
  </si>
  <si>
    <t>Warning: Battery Size</t>
  </si>
  <si>
    <t>General upkeep/maintenance costs of large scale solar arrays</t>
  </si>
  <si>
    <t>Calculated blended peak electricity rate. This is what is used in all financial calculations.</t>
  </si>
  <si>
    <t>Calculated blended offpeak electricity rate. This is what is used in all financial calculations.</t>
  </si>
  <si>
    <t>10 years</t>
  </si>
  <si>
    <t>15 years</t>
  </si>
  <si>
    <t>Variable Descriptions:</t>
  </si>
  <si>
    <t>Loan Calculations</t>
  </si>
  <si>
    <t>Choose whether to model consumption on small market (SM) , large market (LM), public lighting (PL) or total consumption</t>
  </si>
  <si>
    <t>Drop down menu to determine whether spot market price is used for all excess energy above .</t>
  </si>
  <si>
    <t>Annual Reduction</t>
  </si>
  <si>
    <t>Utility Tariffs</t>
  </si>
  <si>
    <t>Electricity rates are subject to change over the lifetime of the project. Current tariffs have been based on the most recent bills issued to a representative council encompassed by the scope of MAV's project.</t>
  </si>
  <si>
    <t>Loan inputs and calculations have been set up in such a way to be capable of modelling an adjustable rate loan. Calculations can support 2 separate loan terms with differing interest rates. Repayment calculations follow common practise techniques employed when calculating ARM repayments. An initial 10 year loan at 3.7% followed by a 15 year loan at 5% was the chosen scenario.</t>
  </si>
  <si>
    <t>Scenario Outputs</t>
  </si>
  <si>
    <t>Cell is a derived variable</t>
  </si>
  <si>
    <t>Drop down select</t>
  </si>
  <si>
    <t>Drop down menu to choose whether LGCs are sold or retired</t>
  </si>
  <si>
    <t>Current LGC price as of June 2017</t>
  </si>
  <si>
    <t>$80/Certificate</t>
  </si>
  <si>
    <t>Lifespan of LGC program. After this period, LGCs valued at $0/certificate based on uncertainty in RET</t>
  </si>
  <si>
    <t>Typical battery cost as of June 2017</t>
  </si>
  <si>
    <t>Term of initial loan rate. See guidelines below for more info on loan calculations.</t>
  </si>
  <si>
    <t>Term of second loan rate. See guidelines below for more info on loan calculations.</t>
  </si>
  <si>
    <t>Initial loan fixed interest rate. Repayments are principal+interest.</t>
  </si>
  <si>
    <t>Second loan fixed interest rate. Repayments are principal +interest.</t>
  </si>
  <si>
    <t>Term - Interest Rate 1</t>
  </si>
  <si>
    <t>Term - Interest Rate 2</t>
  </si>
  <si>
    <t>Interest Rate 1</t>
  </si>
  <si>
    <t>Interest Rate 2</t>
  </si>
  <si>
    <t>Echuca</t>
  </si>
  <si>
    <t>$0.05/kWh</t>
  </si>
  <si>
    <t>Local Govt. Solar and Battery Scenario Calculator</t>
  </si>
  <si>
    <t>Year Zero Utility Rate Mult</t>
  </si>
  <si>
    <t>Year zero utility rate multiplier. 100% assumes representative council utility rates as of June 2017.</t>
  </si>
  <si>
    <t>Spot Market Export (Y/N)?</t>
  </si>
  <si>
    <t>/year</t>
  </si>
  <si>
    <t>/LGC</t>
  </si>
  <si>
    <t>0+</t>
  </si>
  <si>
    <t>Choose number of councils to model consumption. No. of Councils impacts total consumption in kWhs.</t>
  </si>
  <si>
    <t>Password:</t>
  </si>
  <si>
    <t>fga (lowercase)</t>
  </si>
  <si>
    <t>Maintenance Escalation</t>
  </si>
  <si>
    <t>Based on the consumer price index (CPI)</t>
  </si>
  <si>
    <t>Mildura</t>
  </si>
  <si>
    <t>Horsham</t>
  </si>
  <si>
    <t>Ballarat</t>
  </si>
  <si>
    <t>Cobram</t>
  </si>
  <si>
    <t>Castleton</t>
  </si>
  <si>
    <t>Wodonga</t>
  </si>
  <si>
    <t>Sale</t>
  </si>
  <si>
    <t>Shepparton</t>
  </si>
  <si>
    <t>Jacobs Index</t>
  </si>
  <si>
    <t>Custom Rate</t>
  </si>
  <si>
    <t>$0.06/kWh</t>
  </si>
  <si>
    <t>$0.1715/kWh</t>
  </si>
  <si>
    <t>$0.0840/kWh</t>
  </si>
  <si>
    <t>$0.0337/kWh</t>
  </si>
  <si>
    <t>$0.0531/kWh</t>
  </si>
  <si>
    <t>$0.0413/kWh</t>
  </si>
  <si>
    <t>$0.0343/kWh</t>
  </si>
  <si>
    <t>Custom annual utility escalation rate</t>
  </si>
  <si>
    <t>Escalate utilities using Jacob's AEMO VIC wholesale market index or choose a custom annual rate</t>
  </si>
  <si>
    <t>Following further refinement of the energy loads to be offset by the large scale renewable project, a site selection process should consider land size, land availability and proximity to transmission networks. A high-level overview of the network capacity in each region can be found on the Distributed Annual Planning Reports for each Distributor. Ausnet Services can be found here: 
Source: https://www.ausnetservices.com.au/Misc-Pages/Links/About-Us/Publications
 A grid connected solar array will require a new financial agreement between MAV and the network provider.</t>
  </si>
  <si>
    <r>
      <t xml:space="preserve">Special attention should be given to forecasting the electricity price growth rate as accurately as possible because most sustainability projects rely on energy savings to recover project costs.
</t>
    </r>
    <r>
      <rPr>
        <b/>
        <sz val="11"/>
        <color theme="1"/>
        <rFont val="Calibri"/>
        <family val="2"/>
        <scheme val="minor"/>
      </rPr>
      <t xml:space="preserve">This model utilises modelling undertaken by AEMO by Jacobs to index electricity price. The escalation index selected is based on the Victorian wholesale price index low scenario. 
The model provides the option to use a custom escalation rate if required. This should be reviewed and updated annually or when a major electricity forecast report has been released.
</t>
    </r>
    <r>
      <rPr>
        <sz val="11"/>
        <color theme="1"/>
        <rFont val="Calibri"/>
        <family val="2"/>
        <scheme val="minor"/>
      </rPr>
      <t xml:space="preserve">Source: https://www.aemo.com.au/-/media/Files/Electricity/NEM/Planning_and_Forecasting/EFI/Jacobs-Retail-electricity-price-history-and-projections_Final-Public-Report-June-2017.pdf
 </t>
    </r>
  </si>
  <si>
    <t>Capital Cost, $</t>
  </si>
  <si>
    <t>Net LGC Revenue, $</t>
  </si>
  <si>
    <t>Annual Savings, $</t>
  </si>
  <si>
    <t>NPV, $</t>
  </si>
  <si>
    <t>Melbourne (Metro)</t>
  </si>
  <si>
    <t>Shepparton (N)</t>
  </si>
  <si>
    <t>Swan Hill (NW)</t>
  </si>
  <si>
    <t>Echuca (N)</t>
  </si>
  <si>
    <t>Mildura (NW)</t>
  </si>
  <si>
    <t>Horsham (W)</t>
  </si>
  <si>
    <t>Ballarat (Metro)</t>
  </si>
  <si>
    <t>Casterton (W)</t>
  </si>
  <si>
    <t>Cobram (N)</t>
  </si>
  <si>
    <t>Wodonga (NE)</t>
  </si>
  <si>
    <t>Sale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</si>
</sst>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164" formatCode="&quot;$&quot;#,##0;[Red]\-&quot;$&quot;#,##0"/>
    <numFmt numFmtId="165" formatCode="&quot;$&quot;#,##0.00;[Red]\-&quot;$&quot;#,##0.00"/>
    <numFmt numFmtId="166" formatCode="_-&quot;$&quot;* #,##0.00_-;\-&quot;$&quot;* #,##0.00_-;_-&quot;$&quot;* &quot;-&quot;??_-;_-@_-"/>
    <numFmt numFmtId="167" formatCode="_-* #,##0.00_-;\-* #,##0.00_-;_-* &quot;-&quot;??_-;_-@_-"/>
    <numFmt numFmtId="168" formatCode="&quot;$&quot;#,##0"/>
    <numFmt numFmtId="169" formatCode="0.0"/>
    <numFmt numFmtId="170" formatCode="&quot;$&quot;#,##0.0000;[Red]\-&quot;$&quot;#,##0.0000"/>
    <numFmt numFmtId="171" formatCode="0.0%"/>
    <numFmt numFmtId="172" formatCode="_-&quot;$&quot;* #,##0.0000_-;\-&quot;$&quot;* #,##0.0000_-;_-&quot;$&quot;* &quot;-&quot;??_-;_-@_-"/>
    <numFmt numFmtId="173" formatCode="&quot;$&quot;#,##0.000;[Red]\-&quot;$&quot;#,##0.000"/>
    <numFmt numFmtId="174" formatCode="&quot;$&quot;#,##0.000"/>
    <numFmt numFmtId="175" formatCode="&quot;$&quot;#,##0.0000"/>
    <numFmt numFmtId="176" formatCode="&quot;$&quot;#,##0.00000;[Red]\-&quot;$&quot;#,##0.00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0"/>
      <name val="Calibri Light"/>
      <family val="2"/>
      <scheme val="major"/>
    </font>
    <font>
      <sz val="10"/>
      <color theme="0"/>
      <name val="Calibri Light"/>
      <family val="2"/>
      <scheme val="major"/>
    </font>
    <font>
      <sz val="10"/>
      <color theme="1"/>
      <name val="Calibri Light"/>
      <family val="2"/>
      <scheme val="major"/>
    </font>
    <font>
      <sz val="10"/>
      <color theme="1"/>
      <name val="Calibri"/>
      <family val="2"/>
      <scheme val="minor"/>
    </font>
    <font>
      <b/>
      <sz val="10"/>
      <color theme="1"/>
      <name val="Calibri Light"/>
      <family val="2"/>
      <scheme val="major"/>
    </font>
    <font>
      <sz val="11"/>
      <color theme="1"/>
      <name val="Calibri Light"/>
      <family val="2"/>
      <scheme val="major"/>
    </font>
    <font>
      <b/>
      <sz val="8"/>
      <color rgb="FFFFFFFF"/>
      <name val="Calibri Light"/>
      <family val="2"/>
    </font>
    <font>
      <sz val="8"/>
      <color rgb="FF000000"/>
      <name val="Calibri Light"/>
      <family val="2"/>
    </font>
    <font>
      <b/>
      <sz val="8"/>
      <color theme="0"/>
      <name val="Calibri"/>
      <family val="2"/>
      <scheme val="minor"/>
    </font>
    <font>
      <b/>
      <sz val="28"/>
      <color theme="0"/>
      <name val="Calibri"/>
      <family val="2"/>
      <scheme val="minor"/>
    </font>
    <font>
      <sz val="11"/>
      <name val="Calibri"/>
      <family val="2"/>
      <scheme val="minor"/>
    </font>
    <font>
      <b/>
      <sz val="14"/>
      <color rgb="FF000000"/>
      <name val="Calibri"/>
      <family val="2"/>
      <scheme val="minor"/>
    </font>
    <font>
      <b/>
      <sz val="11"/>
      <color rgb="FFFFFFFF"/>
      <name val="Calibri"/>
      <family val="2"/>
      <scheme val="minor"/>
    </font>
    <font>
      <sz val="11"/>
      <color rgb="FF000000"/>
      <name val="Calibri"/>
      <family val="2"/>
      <scheme val="minor"/>
    </font>
    <font>
      <b/>
      <sz val="8"/>
      <color theme="1"/>
      <name val="Calibri Light"/>
      <family val="2"/>
      <scheme val="major"/>
    </font>
    <font>
      <b/>
      <sz val="8"/>
      <color rgb="FF000000"/>
      <name val="Calibri Light"/>
      <family val="2"/>
    </font>
    <font>
      <sz val="8"/>
      <color theme="0"/>
      <name val="Calibri Light"/>
      <family val="2"/>
    </font>
    <font>
      <sz val="9"/>
      <color rgb="FF000000"/>
      <name val="Calibri"/>
      <family val="2"/>
      <scheme val="minor"/>
    </font>
    <font>
      <sz val="9"/>
      <color indexed="81"/>
      <name val="Tahoma"/>
      <family val="2"/>
    </font>
    <font>
      <b/>
      <sz val="9"/>
      <color indexed="81"/>
      <name val="Tahoma"/>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080"/>
        <bgColor indexed="64"/>
      </patternFill>
    </fill>
    <fill>
      <patternFill patternType="solid">
        <fgColor rgb="FF80AAAA"/>
        <bgColor indexed="64"/>
      </patternFill>
    </fill>
    <fill>
      <patternFill patternType="solid">
        <fgColor rgb="FF006464"/>
        <bgColor indexed="64"/>
      </patternFill>
    </fill>
    <fill>
      <patternFill patternType="solid">
        <fgColor theme="5" tint="0.59996337778862885"/>
        <bgColor indexed="64"/>
      </patternFill>
    </fill>
    <fill>
      <patternFill patternType="solid">
        <fgColor rgb="FFFF0000"/>
        <bgColor indexed="64"/>
      </patternFill>
    </fill>
    <fill>
      <patternFill patternType="solid">
        <fgColor theme="0"/>
        <bgColor indexed="64"/>
      </patternFill>
    </fill>
    <fill>
      <patternFill patternType="darkUp">
        <bgColor theme="0"/>
      </patternFill>
    </fill>
    <fill>
      <patternFill patternType="gray0625">
        <fgColor theme="2" tint="-0.24994659260841701"/>
        <bgColor rgb="FF007878"/>
      </patternFill>
    </fill>
    <fill>
      <patternFill patternType="solid">
        <fgColor rgb="FFFFFFFF"/>
        <bgColor indexed="64"/>
      </patternFill>
    </fill>
    <fill>
      <patternFill patternType="solid">
        <fgColor rgb="FFF3F4EF"/>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medium">
        <color auto="1"/>
      </left>
      <right/>
      <top style="medium">
        <color auto="1"/>
      </top>
      <bottom style="thin">
        <color theme="1" tint="0.499984740745262"/>
      </bottom>
      <diagonal/>
    </border>
    <border>
      <left/>
      <right/>
      <top style="medium">
        <color auto="1"/>
      </top>
      <bottom style="thin">
        <color theme="1" tint="0.499984740745262"/>
      </bottom>
      <diagonal/>
    </border>
    <border>
      <left/>
      <right style="thin">
        <color theme="1" tint="0.499984740745262"/>
      </right>
      <top style="medium">
        <color auto="1"/>
      </top>
      <bottom style="thin">
        <color theme="1" tint="0.499984740745262"/>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theme="1" tint="0.499984740745262"/>
      </top>
      <bottom style="thin">
        <color theme="1" tint="0.499984740745262"/>
      </bottom>
      <diagonal/>
    </border>
    <border>
      <left style="medium">
        <color auto="1"/>
      </left>
      <right/>
      <top style="thin">
        <color theme="1" tint="0.499984740745262"/>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theme="1" tint="0.499984740745262"/>
      </top>
      <bottom style="thin">
        <color theme="1" tint="0.499984740745262"/>
      </bottom>
      <diagonal/>
    </border>
    <border>
      <left style="thick">
        <color auto="1"/>
      </left>
      <right style="thin">
        <color indexed="64"/>
      </right>
      <top style="thin">
        <color indexed="64"/>
      </top>
      <bottom style="thin">
        <color indexed="64"/>
      </bottom>
      <diagonal/>
    </border>
    <border>
      <left style="thick">
        <color auto="1"/>
      </left>
      <right style="thin">
        <color theme="1" tint="0.499984740745262"/>
      </right>
      <top style="thin">
        <color theme="1" tint="0.499984740745262"/>
      </top>
      <bottom style="thin">
        <color theme="1" tint="0.499984740745262"/>
      </bottom>
      <diagonal/>
    </border>
    <border>
      <left/>
      <right/>
      <top/>
      <bottom style="thick">
        <color auto="1"/>
      </bottom>
      <diagonal/>
    </border>
    <border>
      <left/>
      <right style="thick">
        <color auto="1"/>
      </right>
      <top/>
      <bottom style="thick">
        <color auto="1"/>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style="thick">
        <color theme="1" tint="0.499984740745262"/>
      </left>
      <right/>
      <top/>
      <bottom/>
      <diagonal/>
    </border>
    <border>
      <left style="thin">
        <color rgb="FFCCCC99"/>
      </left>
      <right style="thin">
        <color rgb="FFCCCC99"/>
      </right>
      <top style="thin">
        <color rgb="FFCCCC99"/>
      </top>
      <bottom style="thin">
        <color rgb="FFCCCC99"/>
      </bottom>
      <diagonal/>
    </border>
    <border>
      <left style="thick">
        <color theme="1"/>
      </left>
      <right/>
      <top/>
      <bottom style="thick">
        <color auto="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ck">
        <color theme="1"/>
      </left>
      <right/>
      <top/>
      <bottom/>
      <diagonal/>
    </border>
    <border>
      <left style="thick">
        <color auto="1"/>
      </left>
      <right style="thin">
        <color theme="1" tint="0.499984740745262"/>
      </right>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167"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0" fillId="0" borderId="0" xfId="0"/>
    <xf numFmtId="0" fontId="26" fillId="0" borderId="16" xfId="0" applyFont="1" applyBorder="1" applyAlignment="1">
      <alignment vertical="center"/>
    </xf>
    <xf numFmtId="0" fontId="0" fillId="0" borderId="0" xfId="0" applyProtection="1">
      <protection hidden="1"/>
    </xf>
    <xf numFmtId="0" fontId="13" fillId="34" borderId="10" xfId="0" applyFont="1" applyFill="1" applyBorder="1" applyProtection="1">
      <protection hidden="1"/>
    </xf>
    <xf numFmtId="0" fontId="13" fillId="35" borderId="15" xfId="0" applyFont="1" applyFill="1" applyBorder="1" applyAlignment="1" applyProtection="1">
      <alignment wrapText="1"/>
      <protection hidden="1"/>
    </xf>
    <xf numFmtId="0" fontId="13" fillId="35" borderId="12" xfId="0" applyFont="1" applyFill="1" applyBorder="1" applyAlignment="1" applyProtection="1">
      <alignment wrapText="1"/>
      <protection hidden="1"/>
    </xf>
    <xf numFmtId="0" fontId="13" fillId="35" borderId="14" xfId="0" applyFont="1" applyFill="1" applyBorder="1" applyAlignment="1" applyProtection="1">
      <alignment wrapText="1"/>
      <protection hidden="1"/>
    </xf>
    <xf numFmtId="3" fontId="0" fillId="0" borderId="14" xfId="0" applyNumberFormat="1" applyFill="1" applyBorder="1" applyProtection="1">
      <protection hidden="1"/>
    </xf>
    <xf numFmtId="164" fontId="0" fillId="0" borderId="14" xfId="0" applyNumberFormat="1" applyFill="1" applyBorder="1" applyProtection="1">
      <protection hidden="1"/>
    </xf>
    <xf numFmtId="3" fontId="16" fillId="0" borderId="14" xfId="0" applyNumberFormat="1" applyFont="1" applyFill="1" applyBorder="1" applyProtection="1">
      <protection hidden="1"/>
    </xf>
    <xf numFmtId="164" fontId="16" fillId="0" borderId="14" xfId="0" applyNumberFormat="1" applyFont="1" applyFill="1" applyBorder="1" applyProtection="1">
      <protection hidden="1"/>
    </xf>
    <xf numFmtId="0" fontId="19" fillId="33" borderId="10" xfId="42" applyFont="1" applyFill="1" applyBorder="1" applyAlignment="1" applyProtection="1">
      <alignment vertical="top"/>
      <protection hidden="1"/>
    </xf>
    <xf numFmtId="0" fontId="19" fillId="33" borderId="11" xfId="42" applyFont="1" applyFill="1" applyBorder="1" applyAlignment="1" applyProtection="1">
      <alignment vertical="top"/>
      <protection hidden="1"/>
    </xf>
    <xf numFmtId="0" fontId="20" fillId="33" borderId="11" xfId="42" applyFont="1" applyFill="1" applyBorder="1" applyAlignment="1" applyProtection="1">
      <alignment vertical="top"/>
      <protection hidden="1"/>
    </xf>
    <xf numFmtId="0" fontId="20" fillId="33" borderId="12" xfId="42" applyFont="1" applyFill="1" applyBorder="1" applyAlignment="1" applyProtection="1">
      <alignment vertical="top"/>
      <protection hidden="1"/>
    </xf>
    <xf numFmtId="0" fontId="21" fillId="0" borderId="13" xfId="43" applyFont="1" applyBorder="1" applyProtection="1">
      <protection hidden="1"/>
    </xf>
    <xf numFmtId="0" fontId="21" fillId="0" borderId="14" xfId="43" applyFont="1" applyBorder="1" applyProtection="1">
      <protection hidden="1"/>
    </xf>
    <xf numFmtId="3" fontId="21" fillId="0" borderId="14" xfId="43" applyNumberFormat="1" applyFont="1" applyBorder="1" applyProtection="1">
      <protection hidden="1"/>
    </xf>
    <xf numFmtId="0" fontId="22" fillId="0" borderId="0" xfId="0" applyFont="1" applyProtection="1">
      <protection hidden="1"/>
    </xf>
    <xf numFmtId="3" fontId="23" fillId="0" borderId="14" xfId="43" applyNumberFormat="1" applyFont="1" applyBorder="1" applyProtection="1">
      <protection hidden="1"/>
    </xf>
    <xf numFmtId="3" fontId="23" fillId="0" borderId="0" xfId="43" applyNumberFormat="1" applyFont="1" applyBorder="1" applyProtection="1">
      <protection hidden="1"/>
    </xf>
    <xf numFmtId="4" fontId="21" fillId="0" borderId="14" xfId="43" applyNumberFormat="1" applyFont="1" applyBorder="1" applyProtection="1">
      <protection hidden="1"/>
    </xf>
    <xf numFmtId="3" fontId="26" fillId="36" borderId="16" xfId="0" applyNumberFormat="1" applyFont="1" applyFill="1" applyBorder="1" applyAlignment="1" applyProtection="1">
      <alignment vertical="center"/>
      <protection locked="0"/>
    </xf>
    <xf numFmtId="164" fontId="26" fillId="36" borderId="16" xfId="0" applyNumberFormat="1" applyFont="1" applyFill="1" applyBorder="1" applyAlignment="1" applyProtection="1">
      <alignment vertical="center"/>
      <protection locked="0"/>
    </xf>
    <xf numFmtId="171" fontId="26" fillId="36" borderId="16" xfId="0" applyNumberFormat="1" applyFont="1" applyFill="1" applyBorder="1" applyAlignment="1" applyProtection="1">
      <alignment vertical="center"/>
      <protection locked="0"/>
    </xf>
    <xf numFmtId="3" fontId="0" fillId="0" borderId="14" xfId="0" applyNumberFormat="1" applyBorder="1"/>
    <xf numFmtId="170" fontId="29" fillId="0" borderId="14" xfId="0" applyNumberFormat="1" applyFont="1" applyFill="1" applyBorder="1"/>
    <xf numFmtId="172" fontId="0" fillId="0" borderId="14" xfId="0" applyNumberFormat="1" applyBorder="1"/>
    <xf numFmtId="0" fontId="0" fillId="0" borderId="14" xfId="0" applyFill="1" applyBorder="1"/>
    <xf numFmtId="164" fontId="0" fillId="0" borderId="14" xfId="0" applyNumberFormat="1" applyFill="1" applyBorder="1"/>
    <xf numFmtId="3" fontId="0" fillId="0" borderId="0" xfId="0" applyNumberFormat="1" applyProtection="1">
      <protection hidden="1"/>
    </xf>
    <xf numFmtId="0" fontId="0" fillId="37" borderId="0" xfId="0" applyFill="1" applyProtection="1">
      <protection hidden="1"/>
    </xf>
    <xf numFmtId="10" fontId="26" fillId="36" borderId="16" xfId="0" applyNumberFormat="1" applyFont="1" applyFill="1" applyBorder="1" applyAlignment="1" applyProtection="1">
      <alignment vertical="center"/>
      <protection locked="0"/>
    </xf>
    <xf numFmtId="164" fontId="0" fillId="0" borderId="0" xfId="0" applyNumberFormat="1"/>
    <xf numFmtId="9" fontId="26" fillId="36" borderId="16" xfId="0" applyNumberFormat="1" applyFont="1" applyFill="1" applyBorder="1" applyAlignment="1" applyProtection="1">
      <alignment vertical="center"/>
      <protection locked="0"/>
    </xf>
    <xf numFmtId="1" fontId="26" fillId="36" borderId="16" xfId="0" applyNumberFormat="1" applyFont="1" applyFill="1" applyBorder="1" applyAlignment="1" applyProtection="1">
      <alignment vertical="center"/>
      <protection locked="0"/>
    </xf>
    <xf numFmtId="16" fontId="0" fillId="0" borderId="0" xfId="0" applyNumberFormat="1"/>
    <xf numFmtId="17" fontId="0" fillId="0" borderId="0" xfId="0" applyNumberFormat="1"/>
    <xf numFmtId="168" fontId="26" fillId="36" borderId="16" xfId="0" applyNumberFormat="1" applyFont="1" applyFill="1" applyBorder="1" applyAlignment="1" applyProtection="1">
      <alignment vertical="center"/>
      <protection locked="0"/>
    </xf>
    <xf numFmtId="0" fontId="8" fillId="4" borderId="14" xfId="8" applyBorder="1"/>
    <xf numFmtId="164" fontId="8" fillId="4" borderId="14" xfId="8" applyNumberFormat="1" applyBorder="1"/>
    <xf numFmtId="166" fontId="0" fillId="0" borderId="0" xfId="0" applyNumberFormat="1"/>
    <xf numFmtId="0" fontId="13" fillId="33" borderId="14" xfId="0" applyFont="1" applyFill="1" applyBorder="1"/>
    <xf numFmtId="0" fontId="0" fillId="0" borderId="14" xfId="0" applyBorder="1" applyAlignment="1">
      <alignment horizontal="left" vertical="center" wrapText="1"/>
    </xf>
    <xf numFmtId="0" fontId="0" fillId="0" borderId="14" xfId="0" applyBorder="1" applyAlignment="1">
      <alignment vertical="center" wrapText="1"/>
    </xf>
    <xf numFmtId="0" fontId="0" fillId="0" borderId="14" xfId="0" applyBorder="1" applyAlignment="1">
      <alignment vertical="center"/>
    </xf>
    <xf numFmtId="0" fontId="0" fillId="0" borderId="14" xfId="0" applyBorder="1"/>
    <xf numFmtId="0" fontId="0" fillId="0" borderId="14" xfId="0" applyBorder="1" applyAlignment="1">
      <alignment horizontal="center"/>
    </xf>
    <xf numFmtId="10" fontId="0" fillId="0" borderId="14" xfId="0" applyNumberFormat="1" applyBorder="1" applyAlignment="1">
      <alignment horizontal="center"/>
    </xf>
    <xf numFmtId="164" fontId="0" fillId="0" borderId="14" xfId="0" applyNumberFormat="1" applyBorder="1" applyAlignment="1">
      <alignment horizontal="center"/>
    </xf>
    <xf numFmtId="9" fontId="0" fillId="0" borderId="14" xfId="0" applyNumberFormat="1" applyBorder="1" applyAlignment="1">
      <alignment horizontal="center"/>
    </xf>
    <xf numFmtId="0" fontId="0" fillId="38" borderId="20" xfId="0" applyFill="1" applyBorder="1"/>
    <xf numFmtId="0" fontId="0" fillId="38" borderId="0" xfId="0" applyFill="1" applyBorder="1"/>
    <xf numFmtId="0" fontId="16" fillId="38" borderId="0" xfId="0" applyFont="1" applyFill="1" applyBorder="1"/>
    <xf numFmtId="0" fontId="0" fillId="0" borderId="0" xfId="0" applyFill="1"/>
    <xf numFmtId="0" fontId="0" fillId="38" borderId="24" xfId="0" applyFill="1" applyBorder="1"/>
    <xf numFmtId="0" fontId="0" fillId="38" borderId="25" xfId="0" applyFill="1" applyBorder="1"/>
    <xf numFmtId="0" fontId="0" fillId="38" borderId="26" xfId="0" applyFill="1" applyBorder="1"/>
    <xf numFmtId="0" fontId="16" fillId="38" borderId="25" xfId="0" applyFont="1" applyFill="1" applyBorder="1"/>
    <xf numFmtId="0" fontId="0" fillId="38" borderId="28" xfId="0" applyFill="1" applyBorder="1"/>
    <xf numFmtId="0" fontId="0" fillId="38" borderId="29" xfId="0" applyFill="1" applyBorder="1"/>
    <xf numFmtId="0" fontId="0" fillId="38" borderId="30" xfId="0" applyFill="1" applyBorder="1"/>
    <xf numFmtId="0" fontId="0" fillId="38" borderId="31" xfId="0" applyFill="1" applyBorder="1"/>
    <xf numFmtId="49" fontId="26" fillId="36" borderId="16" xfId="0" applyNumberFormat="1" applyFont="1" applyFill="1" applyBorder="1" applyAlignment="1" applyProtection="1">
      <alignment horizontal="right" vertical="center"/>
      <protection locked="0"/>
    </xf>
    <xf numFmtId="174" fontId="0" fillId="0" borderId="14" xfId="0" applyNumberFormat="1" applyBorder="1" applyAlignment="1">
      <alignment horizontal="center"/>
    </xf>
    <xf numFmtId="175" fontId="0" fillId="0" borderId="14" xfId="0" applyNumberFormat="1" applyBorder="1" applyAlignment="1">
      <alignment horizontal="center"/>
    </xf>
    <xf numFmtId="0" fontId="0" fillId="39" borderId="16" xfId="0" applyFill="1" applyBorder="1"/>
    <xf numFmtId="0" fontId="25" fillId="33" borderId="16" xfId="0" applyFont="1" applyFill="1" applyBorder="1" applyAlignment="1">
      <alignment horizontal="center" vertical="center" wrapText="1"/>
    </xf>
    <xf numFmtId="165" fontId="0" fillId="0" borderId="0" xfId="0" applyNumberFormat="1"/>
    <xf numFmtId="164" fontId="0" fillId="0" borderId="0" xfId="0" applyNumberFormat="1" applyProtection="1">
      <protection hidden="1"/>
    </xf>
    <xf numFmtId="4" fontId="24" fillId="0" borderId="14" xfId="43" applyNumberFormat="1" applyFont="1" applyBorder="1"/>
    <xf numFmtId="0" fontId="31" fillId="33" borderId="17" xfId="0" applyFont="1" applyFill="1" applyBorder="1" applyAlignment="1">
      <alignment horizontal="left" vertical="center" wrapText="1"/>
    </xf>
    <xf numFmtId="0" fontId="31" fillId="33" borderId="18" xfId="0" applyFont="1" applyFill="1" applyBorder="1" applyAlignment="1">
      <alignment horizontal="left" vertical="center" wrapText="1"/>
    </xf>
    <xf numFmtId="0" fontId="31" fillId="33" borderId="19" xfId="0" applyFont="1" applyFill="1" applyBorder="1" applyAlignment="1">
      <alignment horizontal="left" vertical="center" wrapText="1"/>
    </xf>
    <xf numFmtId="4" fontId="0" fillId="0" borderId="0" xfId="0" applyNumberFormat="1" applyProtection="1">
      <protection hidden="1"/>
    </xf>
    <xf numFmtId="0" fontId="0" fillId="38" borderId="32" xfId="0" applyFill="1" applyBorder="1"/>
    <xf numFmtId="0" fontId="0" fillId="38" borderId="33" xfId="0" applyFill="1" applyBorder="1"/>
    <xf numFmtId="0" fontId="0" fillId="38" borderId="15" xfId="0" applyFill="1" applyBorder="1"/>
    <xf numFmtId="0" fontId="0" fillId="38" borderId="34" xfId="0" applyFill="1" applyBorder="1"/>
    <xf numFmtId="0" fontId="0" fillId="38" borderId="35" xfId="0" applyFill="1" applyBorder="1"/>
    <xf numFmtId="0" fontId="0" fillId="38" borderId="36" xfId="0" applyFill="1" applyBorder="1"/>
    <xf numFmtId="0" fontId="0" fillId="38" borderId="37" xfId="0" applyFill="1" applyBorder="1"/>
    <xf numFmtId="0" fontId="0" fillId="38" borderId="38" xfId="0" applyFill="1" applyBorder="1"/>
    <xf numFmtId="0" fontId="0" fillId="0" borderId="14" xfId="0" applyNumberFormat="1" applyBorder="1" applyAlignment="1">
      <alignment horizontal="center"/>
    </xf>
    <xf numFmtId="0" fontId="0" fillId="38" borderId="0" xfId="0" applyFill="1" applyBorder="1" applyAlignment="1">
      <alignment horizontal="center" wrapText="1"/>
    </xf>
    <xf numFmtId="0" fontId="28" fillId="33" borderId="39" xfId="0" applyFont="1" applyFill="1" applyBorder="1"/>
    <xf numFmtId="0" fontId="0" fillId="33" borderId="40" xfId="0" applyFill="1" applyBorder="1"/>
    <xf numFmtId="0" fontId="0" fillId="38" borderId="41" xfId="0" applyFill="1" applyBorder="1"/>
    <xf numFmtId="0" fontId="0" fillId="33" borderId="0" xfId="0" applyFill="1" applyBorder="1"/>
    <xf numFmtId="0" fontId="0" fillId="38" borderId="43" xfId="0" applyFill="1" applyBorder="1"/>
    <xf numFmtId="0" fontId="13" fillId="33" borderId="42" xfId="0" applyFont="1" applyFill="1" applyBorder="1"/>
    <xf numFmtId="169" fontId="27" fillId="33" borderId="0" xfId="0" applyNumberFormat="1" applyFont="1" applyFill="1" applyBorder="1"/>
    <xf numFmtId="0" fontId="0" fillId="38" borderId="42" xfId="0" applyFill="1" applyBorder="1"/>
    <xf numFmtId="0" fontId="0" fillId="38" borderId="42" xfId="0" applyFill="1" applyBorder="1" applyAlignment="1">
      <alignment horizontal="center" wrapText="1"/>
    </xf>
    <xf numFmtId="0" fontId="26" fillId="0" borderId="46" xfId="0" applyFont="1" applyBorder="1" applyAlignment="1">
      <alignment vertical="center"/>
    </xf>
    <xf numFmtId="0" fontId="26" fillId="38" borderId="47" xfId="0" applyFont="1" applyFill="1" applyBorder="1" applyAlignment="1">
      <alignment vertical="center"/>
    </xf>
    <xf numFmtId="0" fontId="0" fillId="38" borderId="47" xfId="0" applyFill="1" applyBorder="1"/>
    <xf numFmtId="0" fontId="0" fillId="38" borderId="48" xfId="0" applyFill="1" applyBorder="1"/>
    <xf numFmtId="0" fontId="25" fillId="33" borderId="52" xfId="0" applyFont="1" applyFill="1" applyBorder="1" applyAlignment="1">
      <alignment horizontal="center" vertical="center" wrapText="1"/>
    </xf>
    <xf numFmtId="0" fontId="25" fillId="33" borderId="53" xfId="0" applyFont="1" applyFill="1" applyBorder="1" applyAlignment="1">
      <alignment horizontal="center" vertical="center" wrapText="1"/>
    </xf>
    <xf numFmtId="3" fontId="26" fillId="0" borderId="54" xfId="0" applyNumberFormat="1" applyFont="1" applyBorder="1" applyAlignment="1">
      <alignment vertical="center"/>
    </xf>
    <xf numFmtId="3" fontId="26" fillId="0" borderId="55" xfId="0" applyNumberFormat="1" applyFont="1" applyBorder="1" applyAlignment="1">
      <alignment vertical="center"/>
    </xf>
    <xf numFmtId="9" fontId="34" fillId="0" borderId="55" xfId="0" applyNumberFormat="1" applyFont="1" applyBorder="1" applyAlignment="1">
      <alignment vertical="center"/>
    </xf>
    <xf numFmtId="9" fontId="26" fillId="0" borderId="55" xfId="45" applyNumberFormat="1" applyFont="1" applyBorder="1" applyAlignment="1">
      <alignment vertical="center"/>
    </xf>
    <xf numFmtId="164" fontId="26" fillId="0" borderId="55" xfId="0" applyNumberFormat="1" applyFont="1" applyBorder="1" applyAlignment="1">
      <alignment vertical="center"/>
    </xf>
    <xf numFmtId="4" fontId="34" fillId="0" borderId="55" xfId="0" applyNumberFormat="1" applyFont="1" applyBorder="1" applyAlignment="1">
      <alignment vertical="center"/>
    </xf>
    <xf numFmtId="6" fontId="34" fillId="0" borderId="56" xfId="0" applyNumberFormat="1" applyFont="1" applyBorder="1" applyAlignment="1">
      <alignment vertical="center"/>
    </xf>
    <xf numFmtId="0" fontId="0" fillId="38" borderId="57" xfId="0" applyFill="1" applyBorder="1"/>
    <xf numFmtId="0" fontId="26" fillId="0" borderId="46" xfId="0" applyFont="1" applyBorder="1" applyAlignment="1">
      <alignment vertical="center" wrapText="1"/>
    </xf>
    <xf numFmtId="0" fontId="0" fillId="0" borderId="14" xfId="0" applyBorder="1" applyAlignment="1">
      <alignment wrapText="1"/>
    </xf>
    <xf numFmtId="0" fontId="33" fillId="34" borderId="45" xfId="0" applyFont="1" applyFill="1" applyBorder="1" applyAlignment="1"/>
    <xf numFmtId="0" fontId="33" fillId="34" borderId="14" xfId="0" applyFont="1" applyFill="1" applyBorder="1" applyAlignment="1"/>
    <xf numFmtId="1" fontId="35" fillId="40" borderId="16" xfId="0" applyNumberFormat="1" applyFont="1" applyFill="1" applyBorder="1" applyAlignment="1" applyProtection="1">
      <alignment vertical="center"/>
    </xf>
    <xf numFmtId="0" fontId="36" fillId="41" borderId="58" xfId="0" applyFont="1" applyFill="1" applyBorder="1" applyAlignment="1">
      <alignment wrapText="1"/>
    </xf>
    <xf numFmtId="4" fontId="26" fillId="0" borderId="55" xfId="0" applyNumberFormat="1" applyFont="1" applyBorder="1" applyAlignment="1">
      <alignment vertical="center"/>
    </xf>
    <xf numFmtId="3" fontId="35" fillId="40" borderId="16" xfId="0" applyNumberFormat="1" applyFont="1" applyFill="1" applyBorder="1" applyAlignment="1" applyProtection="1">
      <alignment vertical="center"/>
    </xf>
    <xf numFmtId="0" fontId="0" fillId="38" borderId="0" xfId="0" applyFill="1"/>
    <xf numFmtId="1" fontId="0" fillId="0" borderId="0" xfId="0" applyNumberFormat="1" applyProtection="1">
      <protection hidden="1"/>
    </xf>
    <xf numFmtId="0" fontId="26" fillId="38" borderId="59" xfId="0" applyFont="1" applyFill="1" applyBorder="1" applyAlignment="1">
      <alignment vertical="center"/>
    </xf>
    <xf numFmtId="0" fontId="0" fillId="38" borderId="64" xfId="0" applyFill="1" applyBorder="1"/>
    <xf numFmtId="176" fontId="26" fillId="36" borderId="17" xfId="0" applyNumberFormat="1" applyFont="1" applyFill="1" applyBorder="1" applyAlignment="1" applyProtection="1">
      <alignment horizontal="right" vertical="center"/>
      <protection locked="0"/>
    </xf>
    <xf numFmtId="0" fontId="36" fillId="42" borderId="58" xfId="0" applyFont="1" applyFill="1" applyBorder="1" applyAlignment="1">
      <alignment wrapText="1"/>
    </xf>
    <xf numFmtId="0" fontId="26" fillId="0" borderId="65" xfId="0" applyFont="1" applyFill="1" applyBorder="1" applyAlignment="1">
      <alignment vertical="center"/>
    </xf>
    <xf numFmtId="4" fontId="0" fillId="0" borderId="14" xfId="0" applyNumberFormat="1" applyBorder="1"/>
    <xf numFmtId="164" fontId="30" fillId="36" borderId="21" xfId="0" applyNumberFormat="1" applyFont="1" applyFill="1" applyBorder="1" applyAlignment="1" applyProtection="1">
      <alignment horizontal="left" vertical="center"/>
      <protection locked="0"/>
    </xf>
    <xf numFmtId="164" fontId="30" fillId="36" borderId="22" xfId="0" applyNumberFormat="1" applyFont="1" applyFill="1" applyBorder="1" applyAlignment="1" applyProtection="1">
      <alignment horizontal="left" vertical="center"/>
      <protection locked="0"/>
    </xf>
    <xf numFmtId="164" fontId="30" fillId="36" borderId="23" xfId="0" applyNumberFormat="1" applyFont="1" applyFill="1" applyBorder="1" applyAlignment="1" applyProtection="1">
      <alignment horizontal="left" vertical="center"/>
      <protection locked="0"/>
    </xf>
    <xf numFmtId="0" fontId="0" fillId="0" borderId="14" xfId="0" applyFont="1" applyBorder="1" applyAlignment="1">
      <alignment horizontal="left" vertical="center" wrapText="1"/>
    </xf>
    <xf numFmtId="0" fontId="0" fillId="0" borderId="14" xfId="0" quotePrefix="1" applyBorder="1" applyAlignment="1">
      <alignment horizontal="left" vertical="center" wrapText="1"/>
    </xf>
    <xf numFmtId="0" fontId="13" fillId="33" borderId="14" xfId="0" applyFont="1" applyFill="1" applyBorder="1" applyAlignment="1">
      <alignment horizontal="left"/>
    </xf>
    <xf numFmtId="164" fontId="30" fillId="36" borderId="27" xfId="0" applyNumberFormat="1" applyFont="1" applyFill="1" applyBorder="1" applyAlignment="1" applyProtection="1">
      <alignment horizontal="left" vertical="center"/>
      <protection locked="0"/>
    </xf>
    <xf numFmtId="164" fontId="30" fillId="36" borderId="18" xfId="0" applyNumberFormat="1" applyFont="1" applyFill="1" applyBorder="1" applyAlignment="1" applyProtection="1">
      <alignment horizontal="left" vertical="center"/>
      <protection locked="0"/>
    </xf>
    <xf numFmtId="164" fontId="30" fillId="36" borderId="19" xfId="0" applyNumberFormat="1" applyFont="1" applyFill="1" applyBorder="1" applyAlignment="1" applyProtection="1">
      <alignment horizontal="left" vertical="center"/>
      <protection locked="0"/>
    </xf>
    <xf numFmtId="0" fontId="0" fillId="0" borderId="14" xfId="0" applyBorder="1" applyAlignment="1">
      <alignment horizontal="left" vertical="center" wrapText="1"/>
    </xf>
    <xf numFmtId="0" fontId="0" fillId="0" borderId="14" xfId="0" applyFill="1" applyBorder="1" applyAlignment="1">
      <alignment horizontal="left" vertical="center" wrapText="1"/>
    </xf>
    <xf numFmtId="0" fontId="16" fillId="34" borderId="14" xfId="0" applyFont="1" applyFill="1" applyBorder="1" applyAlignment="1">
      <alignment horizontal="left"/>
    </xf>
    <xf numFmtId="49" fontId="0" fillId="0" borderId="14" xfId="0" applyNumberFormat="1" applyBorder="1" applyAlignment="1">
      <alignment horizontal="lef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13" fillId="33" borderId="49" xfId="0" applyFont="1" applyFill="1" applyBorder="1" applyAlignment="1">
      <alignment horizontal="center"/>
    </xf>
    <xf numFmtId="0" fontId="13" fillId="33" borderId="50" xfId="0" applyFont="1" applyFill="1" applyBorder="1" applyAlignment="1">
      <alignment horizontal="center"/>
    </xf>
    <xf numFmtId="0" fontId="13" fillId="33" borderId="51" xfId="0" applyFont="1" applyFill="1" applyBorder="1" applyAlignment="1">
      <alignment horizontal="center"/>
    </xf>
    <xf numFmtId="0" fontId="31" fillId="33" borderId="17" xfId="0" applyFont="1" applyFill="1" applyBorder="1" applyAlignment="1">
      <alignment horizontal="left" vertical="center" wrapText="1"/>
    </xf>
    <xf numFmtId="0" fontId="31" fillId="33" borderId="18" xfId="0" applyFont="1" applyFill="1" applyBorder="1" applyAlignment="1">
      <alignment horizontal="left" vertical="center" wrapText="1"/>
    </xf>
    <xf numFmtId="0" fontId="31" fillId="33" borderId="19" xfId="0" applyFont="1" applyFill="1" applyBorder="1" applyAlignment="1">
      <alignment horizontal="left" vertical="center" wrapText="1"/>
    </xf>
    <xf numFmtId="3" fontId="32" fillId="38" borderId="44" xfId="0" applyNumberFormat="1" applyFont="1" applyFill="1" applyBorder="1" applyAlignment="1" applyProtection="1">
      <alignment horizontal="left" vertical="center" wrapText="1"/>
    </xf>
    <xf numFmtId="3" fontId="32" fillId="38" borderId="18" xfId="0" applyNumberFormat="1" applyFont="1" applyFill="1" applyBorder="1" applyAlignment="1" applyProtection="1">
      <alignment horizontal="left" vertical="center" wrapText="1"/>
    </xf>
    <xf numFmtId="3" fontId="32" fillId="38" borderId="19" xfId="0" applyNumberFormat="1" applyFont="1" applyFill="1" applyBorder="1" applyAlignment="1" applyProtection="1">
      <alignment horizontal="left" vertical="center" wrapText="1"/>
    </xf>
    <xf numFmtId="3" fontId="32" fillId="38" borderId="17" xfId="0" applyNumberFormat="1" applyFont="1" applyFill="1" applyBorder="1" applyAlignment="1" applyProtection="1">
      <alignment horizontal="left" vertical="center" wrapText="1"/>
    </xf>
    <xf numFmtId="0" fontId="31" fillId="33" borderId="44" xfId="0" applyFont="1" applyFill="1" applyBorder="1" applyAlignment="1">
      <alignment horizontal="left" vertical="center" wrapText="1"/>
    </xf>
    <xf numFmtId="171" fontId="26" fillId="36" borderId="60" xfId="0" applyNumberFormat="1" applyFont="1" applyFill="1" applyBorder="1" applyAlignment="1" applyProtection="1">
      <alignment horizontal="right" vertical="center"/>
      <protection locked="0"/>
    </xf>
    <xf numFmtId="171" fontId="26" fillId="36" borderId="61" xfId="0" applyNumberFormat="1" applyFont="1" applyFill="1" applyBorder="1" applyAlignment="1" applyProtection="1">
      <alignment horizontal="right" vertical="center"/>
      <protection locked="0"/>
    </xf>
    <xf numFmtId="0" fontId="26" fillId="36" borderId="17" xfId="0" applyNumberFormat="1" applyFont="1" applyFill="1" applyBorder="1" applyAlignment="1" applyProtection="1">
      <alignment horizontal="right" vertical="center"/>
      <protection locked="0"/>
    </xf>
    <xf numFmtId="0" fontId="26" fillId="36" borderId="19" xfId="0" applyNumberFormat="1" applyFont="1" applyFill="1" applyBorder="1" applyAlignment="1" applyProtection="1">
      <alignment horizontal="right" vertical="center"/>
      <protection locked="0"/>
    </xf>
    <xf numFmtId="173" fontId="26" fillId="36" borderId="17" xfId="0" applyNumberFormat="1" applyFont="1" applyFill="1" applyBorder="1" applyAlignment="1" applyProtection="1">
      <alignment horizontal="right" vertical="center"/>
      <protection locked="0"/>
    </xf>
    <xf numFmtId="173" fontId="26" fillId="36" borderId="19" xfId="0" applyNumberFormat="1" applyFont="1" applyFill="1" applyBorder="1" applyAlignment="1" applyProtection="1">
      <alignment horizontal="right" vertical="center"/>
      <protection locked="0"/>
    </xf>
    <xf numFmtId="14" fontId="13" fillId="33" borderId="0" xfId="0" applyNumberFormat="1" applyFont="1" applyFill="1" applyBorder="1" applyAlignment="1">
      <alignment horizontal="left"/>
    </xf>
    <xf numFmtId="0" fontId="33" fillId="34" borderId="10" xfId="0" applyFont="1" applyFill="1" applyBorder="1" applyAlignment="1">
      <alignment horizontal="left"/>
    </xf>
    <xf numFmtId="0" fontId="33" fillId="34" borderId="12" xfId="0" applyFont="1" applyFill="1" applyBorder="1" applyAlignment="1">
      <alignment horizontal="left"/>
    </xf>
    <xf numFmtId="171" fontId="26" fillId="36" borderId="17" xfId="0" applyNumberFormat="1" applyFont="1" applyFill="1" applyBorder="1" applyAlignment="1" applyProtection="1">
      <alignment horizontal="right" vertical="center"/>
      <protection locked="0"/>
    </xf>
    <xf numFmtId="171" fontId="26" fillId="36" borderId="19" xfId="0" applyNumberFormat="1" applyFont="1" applyFill="1" applyBorder="1" applyAlignment="1" applyProtection="1">
      <alignment horizontal="right" vertical="center"/>
      <protection locked="0"/>
    </xf>
    <xf numFmtId="165" fontId="35" fillId="40" borderId="62" xfId="0" applyNumberFormat="1" applyFont="1" applyFill="1" applyBorder="1" applyAlignment="1" applyProtection="1">
      <alignment horizontal="right" vertical="center"/>
    </xf>
    <xf numFmtId="165" fontId="35" fillId="40" borderId="63" xfId="0" applyNumberFormat="1" applyFont="1" applyFill="1" applyBorder="1" applyAlignment="1" applyProtection="1">
      <alignment horizontal="right" vertical="center"/>
    </xf>
    <xf numFmtId="165" fontId="35" fillId="40" borderId="17" xfId="0" applyNumberFormat="1" applyFont="1" applyFill="1" applyBorder="1" applyAlignment="1" applyProtection="1">
      <alignment horizontal="right" vertical="center"/>
    </xf>
    <xf numFmtId="165" fontId="35" fillId="40" borderId="19" xfId="0" applyNumberFormat="1" applyFont="1" applyFill="1" applyBorder="1" applyAlignment="1" applyProtection="1">
      <alignment horizontal="right" vertical="center"/>
    </xf>
    <xf numFmtId="49" fontId="26" fillId="36" borderId="62" xfId="0" applyNumberFormat="1" applyFont="1" applyFill="1" applyBorder="1" applyAlignment="1" applyProtection="1">
      <alignment horizontal="right" vertical="center"/>
      <protection locked="0"/>
    </xf>
    <xf numFmtId="49" fontId="26" fillId="36" borderId="63" xfId="0" applyNumberFormat="1" applyFont="1" applyFill="1" applyBorder="1" applyAlignment="1" applyProtection="1">
      <alignment horizontal="right" vertical="center"/>
      <protection locked="0"/>
    </xf>
    <xf numFmtId="49" fontId="26" fillId="36" borderId="17" xfId="0" applyNumberFormat="1" applyFont="1" applyFill="1" applyBorder="1" applyAlignment="1" applyProtection="1">
      <alignment horizontal="right" vertical="center"/>
      <protection locked="0"/>
    </xf>
    <xf numFmtId="49" fontId="26" fillId="36" borderId="19" xfId="0" applyNumberFormat="1" applyFont="1" applyFill="1" applyBorder="1" applyAlignment="1" applyProtection="1">
      <alignment horizontal="right" vertical="center"/>
      <protection locked="0"/>
    </xf>
    <xf numFmtId="1" fontId="26" fillId="36" borderId="17" xfId="0" applyNumberFormat="1" applyFont="1" applyFill="1" applyBorder="1" applyAlignment="1" applyProtection="1">
      <alignment horizontal="right" vertical="center"/>
      <protection locked="0"/>
    </xf>
    <xf numFmtId="1" fontId="26" fillId="36" borderId="19" xfId="0" applyNumberFormat="1" applyFont="1" applyFill="1" applyBorder="1" applyAlignment="1" applyProtection="1">
      <alignment horizontal="right" vertical="center"/>
      <protection locked="0"/>
    </xf>
    <xf numFmtId="3" fontId="26" fillId="36" borderId="17" xfId="0" applyNumberFormat="1" applyFont="1" applyFill="1" applyBorder="1" applyAlignment="1" applyProtection="1">
      <alignment horizontal="right" vertical="center"/>
      <protection locked="0"/>
    </xf>
    <xf numFmtId="3" fontId="26" fillId="36" borderId="19" xfId="0" applyNumberFormat="1" applyFont="1" applyFill="1" applyBorder="1" applyAlignment="1" applyProtection="1">
      <alignment horizontal="right" vertical="center"/>
      <protection locked="0"/>
    </xf>
    <xf numFmtId="164" fontId="26" fillId="36" borderId="17" xfId="0" applyNumberFormat="1" applyFont="1" applyFill="1" applyBorder="1" applyAlignment="1" applyProtection="1">
      <alignment horizontal="right" vertical="center"/>
      <protection locked="0"/>
    </xf>
    <xf numFmtId="164" fontId="26" fillId="36" borderId="19" xfId="0" applyNumberFormat="1" applyFont="1" applyFill="1" applyBorder="1" applyAlignment="1" applyProtection="1">
      <alignment horizontal="right" vertical="center"/>
      <protection locked="0"/>
    </xf>
    <xf numFmtId="168" fontId="26" fillId="36" borderId="17" xfId="0" applyNumberFormat="1" applyFont="1" applyFill="1" applyBorder="1" applyAlignment="1" applyProtection="1">
      <alignment horizontal="right" vertical="center"/>
      <protection locked="0"/>
    </xf>
    <xf numFmtId="168" fontId="26" fillId="36" borderId="19" xfId="0" applyNumberFormat="1" applyFont="1" applyFill="1" applyBorder="1" applyAlignment="1" applyProtection="1">
      <alignment horizontal="right" vertical="center"/>
      <protection locked="0"/>
    </xf>
    <xf numFmtId="0" fontId="19" fillId="33" borderId="10" xfId="42" applyFont="1" applyFill="1" applyBorder="1" applyAlignment="1" applyProtection="1">
      <alignment horizontal="center" vertical="top"/>
      <protection hidden="1"/>
    </xf>
    <xf numFmtId="0" fontId="19" fillId="33" borderId="11" xfId="42" applyFont="1" applyFill="1" applyBorder="1" applyAlignment="1" applyProtection="1">
      <alignment horizontal="center" vertical="top"/>
      <protection hidden="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3" xfId="43" xr:uid="{00000000-0005-0000-0000-000026000000}"/>
    <cellStyle name="Normal 3" xfId="42" xr:uid="{00000000-0005-0000-0000-000027000000}"/>
    <cellStyle name="Note" xfId="15" builtinId="10" customBuiltin="1"/>
    <cellStyle name="Output" xfId="10" builtinId="21" customBuiltin="1"/>
    <cellStyle name="Percent" xfId="45" builtinId="5"/>
    <cellStyle name="Title" xfId="1" builtinId="15" customBuiltin="1"/>
    <cellStyle name="Total" xfId="17" builtinId="25" customBuiltin="1"/>
    <cellStyle name="Warning Text" xfId="14" builtinId="11" customBuiltin="1"/>
  </cellStyles>
  <dxfs count="8">
    <dxf>
      <fill>
        <patternFill patternType="darkUp">
          <fgColor auto="1"/>
        </patternFill>
      </fill>
    </dxf>
    <dxf>
      <fill>
        <patternFill>
          <bgColor rgb="FFFF5050"/>
        </patternFill>
      </fill>
    </dxf>
    <dxf>
      <fill>
        <patternFill patternType="darkDown"/>
      </fill>
    </dxf>
    <dxf>
      <fill>
        <patternFill patternType="mediumGray"/>
      </fill>
    </dxf>
    <dxf>
      <fill>
        <patternFill>
          <bgColor rgb="FFFF5050"/>
        </patternFill>
      </fill>
    </dxf>
    <dxf>
      <fill>
        <patternFill patternType="mediumGray"/>
      </fill>
    </dxf>
    <dxf>
      <fill>
        <patternFill patternType="mediumGray"/>
      </fill>
    </dxf>
    <dxf>
      <fill>
        <patternFill patternType="mediumGray"/>
      </fill>
    </dxf>
  </dxfs>
  <tableStyles count="0" defaultTableStyle="TableStyleMedium2" defaultPivotStyle="PivotStyleLight16"/>
  <colors>
    <mruColors>
      <color rgb="FF008080"/>
      <color rgb="FF007878"/>
      <color rgb="FF80AAAA"/>
      <color rgb="FFFF5050"/>
      <color rgb="FFFF4343"/>
      <color rgb="FFFF5353"/>
      <color rgb="FFC4C4E2"/>
      <color rgb="FFE0DEFE"/>
      <color rgb="FF908BFD"/>
      <color rgb="FFB0B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Summer Average Daily Electricity Profile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Existing Grid Import</c:v>
          </c:tx>
          <c:spPr>
            <a:ln w="28575" cap="rnd">
              <a:solidFill>
                <a:schemeClr val="tx1">
                  <a:lumMod val="50000"/>
                  <a:lumOff val="50000"/>
                </a:schemeClr>
              </a:solidFill>
              <a:round/>
            </a:ln>
            <a:effectLst/>
          </c:spPr>
          <c:marker>
            <c:symbol val="none"/>
          </c:marker>
          <c:val>
            <c:numRef>
              <c:f>Working!$C$16:$Z$16</c:f>
              <c:numCache>
                <c:formatCode>#,##0</c:formatCode>
                <c:ptCount val="24"/>
                <c:pt idx="0">
                  <c:v>1533.9272605976807</c:v>
                </c:pt>
                <c:pt idx="1">
                  <c:v>1501.7538230565597</c:v>
                </c:pt>
                <c:pt idx="2">
                  <c:v>1499.1285484004959</c:v>
                </c:pt>
                <c:pt idx="3">
                  <c:v>1532.8758944431861</c:v>
                </c:pt>
                <c:pt idx="4">
                  <c:v>1604.1814563214552</c:v>
                </c:pt>
                <c:pt idx="5">
                  <c:v>1519.0682995975619</c:v>
                </c:pt>
                <c:pt idx="6">
                  <c:v>823.12773708451562</c:v>
                </c:pt>
                <c:pt idx="7">
                  <c:v>881.00670569794761</c:v>
                </c:pt>
                <c:pt idx="8">
                  <c:v>1000.1881510032197</c:v>
                </c:pt>
                <c:pt idx="9">
                  <c:v>1069.9777366357407</c:v>
                </c:pt>
                <c:pt idx="10">
                  <c:v>1098.6050693360346</c:v>
                </c:pt>
                <c:pt idx="11">
                  <c:v>1128.247260959831</c:v>
                </c:pt>
                <c:pt idx="12">
                  <c:v>1158.1553419875374</c:v>
                </c:pt>
                <c:pt idx="13">
                  <c:v>1172.437687725951</c:v>
                </c:pt>
                <c:pt idx="14">
                  <c:v>1159.0700366010424</c:v>
                </c:pt>
                <c:pt idx="15">
                  <c:v>1159.9757682508407</c:v>
                </c:pt>
                <c:pt idx="16">
                  <c:v>1135.2419560691192</c:v>
                </c:pt>
                <c:pt idx="17">
                  <c:v>1068.5957073548029</c:v>
                </c:pt>
                <c:pt idx="18">
                  <c:v>1050.7793761673511</c:v>
                </c:pt>
                <c:pt idx="19">
                  <c:v>1797.6095060434627</c:v>
                </c:pt>
                <c:pt idx="20">
                  <c:v>1810.3384821345685</c:v>
                </c:pt>
                <c:pt idx="21">
                  <c:v>1706.1899056398679</c:v>
                </c:pt>
                <c:pt idx="22">
                  <c:v>1589.1033245289054</c:v>
                </c:pt>
                <c:pt idx="23">
                  <c:v>1561.5955062108035</c:v>
                </c:pt>
              </c:numCache>
            </c:numRef>
          </c:val>
          <c:smooth val="0"/>
          <c:extLst>
            <c:ext xmlns:c16="http://schemas.microsoft.com/office/drawing/2014/chart" uri="{C3380CC4-5D6E-409C-BE32-E72D297353CC}">
              <c16:uniqueId val="{00000000-EA79-4499-AA69-609EA1C453E3}"/>
            </c:ext>
          </c:extLst>
        </c:ser>
        <c:ser>
          <c:idx val="1"/>
          <c:order val="1"/>
          <c:tx>
            <c:strRef>
              <c:f>Working!$A$29</c:f>
              <c:strCache>
                <c:ptCount val="1"/>
                <c:pt idx="0">
                  <c:v>Solar Energy Production </c:v>
                </c:pt>
              </c:strCache>
            </c:strRef>
          </c:tx>
          <c:spPr>
            <a:ln w="28575" cap="rnd">
              <a:solidFill>
                <a:schemeClr val="accent2"/>
              </a:solidFill>
              <a:round/>
            </a:ln>
            <a:effectLst/>
          </c:spPr>
          <c:marker>
            <c:symbol val="none"/>
          </c:marker>
          <c:val>
            <c:numRef>
              <c:f>Working!$C$32:$Z$32</c:f>
              <c:numCache>
                <c:formatCode>#,##0</c:formatCode>
                <c:ptCount val="24"/>
                <c:pt idx="0">
                  <c:v>0</c:v>
                </c:pt>
                <c:pt idx="1">
                  <c:v>0</c:v>
                </c:pt>
                <c:pt idx="2">
                  <c:v>0</c:v>
                </c:pt>
                <c:pt idx="3">
                  <c:v>0</c:v>
                </c:pt>
                <c:pt idx="4">
                  <c:v>0</c:v>
                </c:pt>
                <c:pt idx="5">
                  <c:v>0</c:v>
                </c:pt>
                <c:pt idx="6">
                  <c:v>59.158079999999984</c:v>
                </c:pt>
                <c:pt idx="7">
                  <c:v>460.11839999999989</c:v>
                </c:pt>
                <c:pt idx="8">
                  <c:v>1551.2563200000002</c:v>
                </c:pt>
                <c:pt idx="9">
                  <c:v>2747.5641600000004</c:v>
                </c:pt>
                <c:pt idx="10">
                  <c:v>3891.2870399999988</c:v>
                </c:pt>
                <c:pt idx="11">
                  <c:v>4837.816319999999</c:v>
                </c:pt>
                <c:pt idx="12">
                  <c:v>5481.9820799999989</c:v>
                </c:pt>
                <c:pt idx="13">
                  <c:v>5652.8831999999993</c:v>
                </c:pt>
                <c:pt idx="14">
                  <c:v>5297.934720000002</c:v>
                </c:pt>
                <c:pt idx="15">
                  <c:v>4542.02592</c:v>
                </c:pt>
                <c:pt idx="16">
                  <c:v>3477.1804799999991</c:v>
                </c:pt>
                <c:pt idx="17">
                  <c:v>2208.5683199999989</c:v>
                </c:pt>
                <c:pt idx="18">
                  <c:v>979.39487999999994</c:v>
                </c:pt>
                <c:pt idx="19">
                  <c:v>184.04736000000011</c:v>
                </c:pt>
                <c:pt idx="20">
                  <c:v>0</c:v>
                </c:pt>
                <c:pt idx="21">
                  <c:v>0</c:v>
                </c:pt>
                <c:pt idx="22">
                  <c:v>0</c:v>
                </c:pt>
                <c:pt idx="23">
                  <c:v>0</c:v>
                </c:pt>
              </c:numCache>
            </c:numRef>
          </c:val>
          <c:smooth val="0"/>
          <c:extLst>
            <c:ext xmlns:c16="http://schemas.microsoft.com/office/drawing/2014/chart" uri="{C3380CC4-5D6E-409C-BE32-E72D297353CC}">
              <c16:uniqueId val="{00000001-EA79-4499-AA69-609EA1C453E3}"/>
            </c:ext>
          </c:extLst>
        </c:ser>
        <c:ser>
          <c:idx val="2"/>
          <c:order val="2"/>
          <c:tx>
            <c:v>Grid Import After Solar</c:v>
          </c:tx>
          <c:spPr>
            <a:ln w="28575" cap="rnd">
              <a:solidFill>
                <a:srgbClr val="008080"/>
              </a:solidFill>
              <a:round/>
            </a:ln>
            <a:effectLst/>
          </c:spPr>
          <c:marker>
            <c:symbol val="none"/>
          </c:marker>
          <c:val>
            <c:numRef>
              <c:f>Working!$C$9:$Z$9</c:f>
              <c:numCache>
                <c:formatCode>General</c:formatCode>
                <c:ptCount val="24"/>
                <c:pt idx="0">
                  <c:v>1533.9272605976807</c:v>
                </c:pt>
                <c:pt idx="1">
                  <c:v>1501.7538230565597</c:v>
                </c:pt>
                <c:pt idx="2">
                  <c:v>1499.1285484004959</c:v>
                </c:pt>
                <c:pt idx="3">
                  <c:v>1532.8758944431861</c:v>
                </c:pt>
                <c:pt idx="4">
                  <c:v>1604.1814563214552</c:v>
                </c:pt>
                <c:pt idx="5">
                  <c:v>1519.0682995975619</c:v>
                </c:pt>
                <c:pt idx="6">
                  <c:v>763.96965708451557</c:v>
                </c:pt>
                <c:pt idx="7">
                  <c:v>420.88830569794771</c:v>
                </c:pt>
                <c:pt idx="8">
                  <c:v>-551.06816899678051</c:v>
                </c:pt>
                <c:pt idx="9">
                  <c:v>-1677.5864233642596</c:v>
                </c:pt>
                <c:pt idx="10">
                  <c:v>-2792.6819706639644</c:v>
                </c:pt>
                <c:pt idx="11">
                  <c:v>-3709.5690590401682</c:v>
                </c:pt>
                <c:pt idx="12">
                  <c:v>-4323.8267380124616</c:v>
                </c:pt>
                <c:pt idx="13">
                  <c:v>-4480.4455122740483</c:v>
                </c:pt>
                <c:pt idx="14">
                  <c:v>-4138.8646833989596</c:v>
                </c:pt>
                <c:pt idx="15">
                  <c:v>-3382.0501517491593</c:v>
                </c:pt>
                <c:pt idx="16">
                  <c:v>-2341.9385239308799</c:v>
                </c:pt>
                <c:pt idx="17">
                  <c:v>-1139.972612645196</c:v>
                </c:pt>
                <c:pt idx="18">
                  <c:v>71.384496167351131</c:v>
                </c:pt>
                <c:pt idx="19">
                  <c:v>1613.5621460434627</c:v>
                </c:pt>
                <c:pt idx="20">
                  <c:v>1810.3384821345685</c:v>
                </c:pt>
                <c:pt idx="21">
                  <c:v>1706.1899056398679</c:v>
                </c:pt>
                <c:pt idx="22">
                  <c:v>1589.1033245289054</c:v>
                </c:pt>
                <c:pt idx="23">
                  <c:v>1561.5955062108035</c:v>
                </c:pt>
              </c:numCache>
            </c:numRef>
          </c:val>
          <c:smooth val="0"/>
          <c:extLst>
            <c:ext xmlns:c16="http://schemas.microsoft.com/office/drawing/2014/chart" uri="{C3380CC4-5D6E-409C-BE32-E72D297353CC}">
              <c16:uniqueId val="{00000002-EA79-4499-AA69-609EA1C453E3}"/>
            </c:ext>
          </c:extLst>
        </c:ser>
        <c:dLbls>
          <c:showLegendKey val="0"/>
          <c:showVal val="0"/>
          <c:showCatName val="0"/>
          <c:showSerName val="0"/>
          <c:showPercent val="0"/>
          <c:showBubbleSize val="0"/>
        </c:dLbls>
        <c:smooth val="0"/>
        <c:axId val="894620424"/>
        <c:axId val="894612880"/>
      </c:lineChart>
      <c:catAx>
        <c:axId val="894620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612880"/>
        <c:crosses val="autoZero"/>
        <c:auto val="1"/>
        <c:lblAlgn val="ctr"/>
        <c:lblOffset val="100"/>
        <c:noMultiLvlLbl val="0"/>
      </c:catAx>
      <c:valAx>
        <c:axId val="894612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Electricity Consumption, kWh</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620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Winter Average Daily Electricity Profile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Existing Grid Import</c:v>
          </c:tx>
          <c:spPr>
            <a:ln w="28575" cap="rnd">
              <a:solidFill>
                <a:schemeClr val="tx1">
                  <a:lumMod val="50000"/>
                  <a:lumOff val="50000"/>
                </a:schemeClr>
              </a:solidFill>
              <a:round/>
            </a:ln>
            <a:effectLst/>
          </c:spPr>
          <c:marker>
            <c:symbol val="none"/>
          </c:marker>
          <c:val>
            <c:numRef>
              <c:f>Working!$C$22:$Z$22</c:f>
              <c:numCache>
                <c:formatCode>#,##0</c:formatCode>
                <c:ptCount val="24"/>
                <c:pt idx="0">
                  <c:v>1475.1362435692504</c:v>
                </c:pt>
                <c:pt idx="1">
                  <c:v>1461.5336739443576</c:v>
                </c:pt>
                <c:pt idx="2">
                  <c:v>1418.7643938746685</c:v>
                </c:pt>
                <c:pt idx="3">
                  <c:v>1418.3844779379635</c:v>
                </c:pt>
                <c:pt idx="4">
                  <c:v>1442.7804916251357</c:v>
                </c:pt>
                <c:pt idx="5">
                  <c:v>1559.4497295094952</c:v>
                </c:pt>
                <c:pt idx="6">
                  <c:v>1675.5758333967531</c:v>
                </c:pt>
                <c:pt idx="7">
                  <c:v>988.50227964041596</c:v>
                </c:pt>
                <c:pt idx="8">
                  <c:v>929.49513134755421</c:v>
                </c:pt>
                <c:pt idx="9">
                  <c:v>989.51102887450793</c:v>
                </c:pt>
                <c:pt idx="10">
                  <c:v>1001.3850536533893</c:v>
                </c:pt>
                <c:pt idx="11">
                  <c:v>980.42808583480291</c:v>
                </c:pt>
                <c:pt idx="12">
                  <c:v>963.75082914581913</c:v>
                </c:pt>
                <c:pt idx="13">
                  <c:v>951.42392251643639</c:v>
                </c:pt>
                <c:pt idx="14">
                  <c:v>945.5820595646461</c:v>
                </c:pt>
                <c:pt idx="15">
                  <c:v>932.01691831604001</c:v>
                </c:pt>
                <c:pt idx="16">
                  <c:v>964.49159946486941</c:v>
                </c:pt>
                <c:pt idx="17">
                  <c:v>1232.4035656250496</c:v>
                </c:pt>
                <c:pt idx="18">
                  <c:v>2278.1594121147168</c:v>
                </c:pt>
                <c:pt idx="19">
                  <c:v>2300.1741504938718</c:v>
                </c:pt>
                <c:pt idx="20">
                  <c:v>2005.8531793098759</c:v>
                </c:pt>
                <c:pt idx="21">
                  <c:v>1680.5647273099441</c:v>
                </c:pt>
                <c:pt idx="22">
                  <c:v>1588.2605529679106</c:v>
                </c:pt>
                <c:pt idx="23">
                  <c:v>1500.5652439318847</c:v>
                </c:pt>
              </c:numCache>
            </c:numRef>
          </c:val>
          <c:smooth val="0"/>
          <c:extLst>
            <c:ext xmlns:c16="http://schemas.microsoft.com/office/drawing/2014/chart" uri="{C3380CC4-5D6E-409C-BE32-E72D297353CC}">
              <c16:uniqueId val="{00000000-95C5-4199-AB09-5EEF1EF2622A}"/>
            </c:ext>
          </c:extLst>
        </c:ser>
        <c:ser>
          <c:idx val="1"/>
          <c:order val="1"/>
          <c:tx>
            <c:strRef>
              <c:f>Working!$A$29</c:f>
              <c:strCache>
                <c:ptCount val="1"/>
                <c:pt idx="0">
                  <c:v>Solar Energy Production </c:v>
                </c:pt>
              </c:strCache>
            </c:strRef>
          </c:tx>
          <c:spPr>
            <a:ln w="28575" cap="rnd">
              <a:solidFill>
                <a:schemeClr val="accent2"/>
              </a:solidFill>
              <a:round/>
            </a:ln>
            <a:effectLst/>
          </c:spPr>
          <c:marker>
            <c:symbol val="none"/>
          </c:marker>
          <c:val>
            <c:numRef>
              <c:f>Working!$C$38:$Z$38</c:f>
              <c:numCache>
                <c:formatCode>#,##0</c:formatCode>
                <c:ptCount val="24"/>
                <c:pt idx="0">
                  <c:v>0</c:v>
                </c:pt>
                <c:pt idx="1">
                  <c:v>0</c:v>
                </c:pt>
                <c:pt idx="2">
                  <c:v>0</c:v>
                </c:pt>
                <c:pt idx="3">
                  <c:v>0</c:v>
                </c:pt>
                <c:pt idx="4">
                  <c:v>0</c:v>
                </c:pt>
                <c:pt idx="5">
                  <c:v>0</c:v>
                </c:pt>
                <c:pt idx="6">
                  <c:v>0</c:v>
                </c:pt>
                <c:pt idx="7">
                  <c:v>26.292479999999987</c:v>
                </c:pt>
                <c:pt idx="8">
                  <c:v>394.38719999999978</c:v>
                </c:pt>
                <c:pt idx="9">
                  <c:v>1715.5843200000013</c:v>
                </c:pt>
                <c:pt idx="10">
                  <c:v>2754.1372799999995</c:v>
                </c:pt>
                <c:pt idx="11">
                  <c:v>3424.5955200000017</c:v>
                </c:pt>
                <c:pt idx="12">
                  <c:v>3694.0934400000001</c:v>
                </c:pt>
                <c:pt idx="13">
                  <c:v>3674.3740799999978</c:v>
                </c:pt>
                <c:pt idx="14">
                  <c:v>3306.27936</c:v>
                </c:pt>
                <c:pt idx="15">
                  <c:v>2668.6867199999992</c:v>
                </c:pt>
                <c:pt idx="16">
                  <c:v>1735.3036799999993</c:v>
                </c:pt>
                <c:pt idx="17">
                  <c:v>512.70335999999963</c:v>
                </c:pt>
                <c:pt idx="18">
                  <c:v>46.011840000000042</c:v>
                </c:pt>
                <c:pt idx="19">
                  <c:v>0</c:v>
                </c:pt>
                <c:pt idx="20">
                  <c:v>0</c:v>
                </c:pt>
                <c:pt idx="21">
                  <c:v>0</c:v>
                </c:pt>
                <c:pt idx="22">
                  <c:v>0</c:v>
                </c:pt>
                <c:pt idx="23">
                  <c:v>0</c:v>
                </c:pt>
              </c:numCache>
            </c:numRef>
          </c:val>
          <c:smooth val="0"/>
          <c:extLst>
            <c:ext xmlns:c16="http://schemas.microsoft.com/office/drawing/2014/chart" uri="{C3380CC4-5D6E-409C-BE32-E72D297353CC}">
              <c16:uniqueId val="{00000001-95C5-4199-AB09-5EEF1EF2622A}"/>
            </c:ext>
          </c:extLst>
        </c:ser>
        <c:ser>
          <c:idx val="2"/>
          <c:order val="2"/>
          <c:tx>
            <c:v>Grid Import After Solar</c:v>
          </c:tx>
          <c:spPr>
            <a:ln w="28575" cap="rnd">
              <a:solidFill>
                <a:srgbClr val="008080"/>
              </a:solidFill>
              <a:round/>
            </a:ln>
            <a:effectLst/>
          </c:spPr>
          <c:marker>
            <c:symbol val="none"/>
          </c:marker>
          <c:val>
            <c:numRef>
              <c:f>Working!$C$10:$Z$10</c:f>
              <c:numCache>
                <c:formatCode>General</c:formatCode>
                <c:ptCount val="24"/>
                <c:pt idx="0">
                  <c:v>1475.1362435692504</c:v>
                </c:pt>
                <c:pt idx="1">
                  <c:v>1461.5336739443576</c:v>
                </c:pt>
                <c:pt idx="2">
                  <c:v>1418.7643938746685</c:v>
                </c:pt>
                <c:pt idx="3">
                  <c:v>1418.3844779379635</c:v>
                </c:pt>
                <c:pt idx="4">
                  <c:v>1442.7804916251357</c:v>
                </c:pt>
                <c:pt idx="5">
                  <c:v>1559.4497295094952</c:v>
                </c:pt>
                <c:pt idx="6">
                  <c:v>1675.5758333967531</c:v>
                </c:pt>
                <c:pt idx="7">
                  <c:v>962.20979964041601</c:v>
                </c:pt>
                <c:pt idx="8">
                  <c:v>535.10793134755443</c:v>
                </c:pt>
                <c:pt idx="9">
                  <c:v>-726.07329112549337</c:v>
                </c:pt>
                <c:pt idx="10">
                  <c:v>-1752.7522263466103</c:v>
                </c:pt>
                <c:pt idx="11">
                  <c:v>-2444.1674341651988</c:v>
                </c:pt>
                <c:pt idx="12">
                  <c:v>-2730.3426108541807</c:v>
                </c:pt>
                <c:pt idx="13">
                  <c:v>-2722.9501574835613</c:v>
                </c:pt>
                <c:pt idx="14">
                  <c:v>-2360.697300435354</c:v>
                </c:pt>
                <c:pt idx="15">
                  <c:v>-1736.6698016839591</c:v>
                </c:pt>
                <c:pt idx="16">
                  <c:v>-770.81208053512989</c:v>
                </c:pt>
                <c:pt idx="17">
                  <c:v>719.70020562504999</c:v>
                </c:pt>
                <c:pt idx="18">
                  <c:v>2232.1475721147167</c:v>
                </c:pt>
                <c:pt idx="19">
                  <c:v>2300.1741504938718</c:v>
                </c:pt>
                <c:pt idx="20">
                  <c:v>2005.8531793098759</c:v>
                </c:pt>
                <c:pt idx="21">
                  <c:v>1680.5647273099441</c:v>
                </c:pt>
                <c:pt idx="22">
                  <c:v>1588.2605529679106</c:v>
                </c:pt>
                <c:pt idx="23">
                  <c:v>1500.5652439318847</c:v>
                </c:pt>
              </c:numCache>
            </c:numRef>
          </c:val>
          <c:smooth val="0"/>
          <c:extLst>
            <c:ext xmlns:c16="http://schemas.microsoft.com/office/drawing/2014/chart" uri="{C3380CC4-5D6E-409C-BE32-E72D297353CC}">
              <c16:uniqueId val="{00000002-95C5-4199-AB09-5EEF1EF2622A}"/>
            </c:ext>
          </c:extLst>
        </c:ser>
        <c:dLbls>
          <c:showLegendKey val="0"/>
          <c:showVal val="0"/>
          <c:showCatName val="0"/>
          <c:showSerName val="0"/>
          <c:showPercent val="0"/>
          <c:showBubbleSize val="0"/>
        </c:dLbls>
        <c:smooth val="0"/>
        <c:axId val="894620424"/>
        <c:axId val="894612880"/>
      </c:lineChart>
      <c:catAx>
        <c:axId val="894620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612880"/>
        <c:crosses val="autoZero"/>
        <c:auto val="1"/>
        <c:lblAlgn val="ctr"/>
        <c:lblOffset val="100"/>
        <c:noMultiLvlLbl val="0"/>
      </c:catAx>
      <c:valAx>
        <c:axId val="894612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Electricity Consumption, kWh</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620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Monthly Electricity Consumption from Grid</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Existing Electricty Consumption</c:v>
          </c:tx>
          <c:spPr>
            <a:solidFill>
              <a:schemeClr val="accent2">
                <a:shade val="65000"/>
              </a:schemeClr>
            </a:solidFill>
            <a:ln>
              <a:noFill/>
            </a:ln>
            <a:effectLst/>
          </c:spPr>
          <c:invertIfNegative val="0"/>
          <c:cat>
            <c:strRef>
              <c:f>Working!$A$15:$A$26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Working!$AD$15:$AD$26</c:f>
              <c:numCache>
                <c:formatCode>#,##0</c:formatCode>
                <c:ptCount val="12"/>
                <c:pt idx="0">
                  <c:v>911440.79990526859</c:v>
                </c:pt>
                <c:pt idx="1">
                  <c:v>883713.05517175747</c:v>
                </c:pt>
                <c:pt idx="2">
                  <c:v>1059268.8870533039</c:v>
                </c:pt>
                <c:pt idx="3">
                  <c:v>908225.41870613268</c:v>
                </c:pt>
                <c:pt idx="4">
                  <c:v>1013012.3276745147</c:v>
                </c:pt>
                <c:pt idx="5">
                  <c:v>1028785.2035693384</c:v>
                </c:pt>
                <c:pt idx="6">
                  <c:v>1045244.1644739724</c:v>
                </c:pt>
                <c:pt idx="7">
                  <c:v>1013209.9701030502</c:v>
                </c:pt>
                <c:pt idx="8">
                  <c:v>884668.59944244067</c:v>
                </c:pt>
                <c:pt idx="9">
                  <c:v>897150.18187836104</c:v>
                </c:pt>
                <c:pt idx="10">
                  <c:v>826843.59602673817</c:v>
                </c:pt>
                <c:pt idx="11">
                  <c:v>872613.92317564017</c:v>
                </c:pt>
              </c:numCache>
            </c:numRef>
          </c:val>
          <c:extLst>
            <c:ext xmlns:c16="http://schemas.microsoft.com/office/drawing/2014/chart" uri="{C3380CC4-5D6E-409C-BE32-E72D297353CC}">
              <c16:uniqueId val="{00000000-D22D-4F57-8975-BBC08CFB19A1}"/>
            </c:ext>
          </c:extLst>
        </c:ser>
        <c:ser>
          <c:idx val="2"/>
          <c:order val="1"/>
          <c:tx>
            <c:v>After Solar/Battery Consumption</c:v>
          </c:tx>
          <c:spPr>
            <a:solidFill>
              <a:srgbClr val="008080"/>
            </a:solidFill>
            <a:ln>
              <a:solidFill>
                <a:srgbClr val="008080"/>
              </a:solidFill>
            </a:ln>
            <a:effectLst/>
          </c:spPr>
          <c:invertIfNegative val="0"/>
          <c:cat>
            <c:strRef>
              <c:f>Working!$A$15:$A$26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Working!$CN$79:$CN$90</c:f>
              <c:numCache>
                <c:formatCode>#,##0</c:formatCode>
                <c:ptCount val="12"/>
                <c:pt idx="0">
                  <c:v>509628.49662522099</c:v>
                </c:pt>
                <c:pt idx="1">
                  <c:v>524383.07896588219</c:v>
                </c:pt>
                <c:pt idx="2">
                  <c:v>668104.91762421129</c:v>
                </c:pt>
                <c:pt idx="3">
                  <c:v>635219.88053051243</c:v>
                </c:pt>
                <c:pt idx="4">
                  <c:v>771526.69729159353</c:v>
                </c:pt>
                <c:pt idx="5">
                  <c:v>789434.09312955535</c:v>
                </c:pt>
                <c:pt idx="6">
                  <c:v>790792.07349763101</c:v>
                </c:pt>
                <c:pt idx="7">
                  <c:v>743262.45440456423</c:v>
                </c:pt>
                <c:pt idx="8">
                  <c:v>606778.29125672358</c:v>
                </c:pt>
                <c:pt idx="9">
                  <c:v>578290.93845888402</c:v>
                </c:pt>
                <c:pt idx="10">
                  <c:v>490808.22491729487</c:v>
                </c:pt>
                <c:pt idx="11">
                  <c:v>484130.4775138413</c:v>
                </c:pt>
              </c:numCache>
            </c:numRef>
          </c:val>
          <c:extLst>
            <c:ext xmlns:c16="http://schemas.microsoft.com/office/drawing/2014/chart" uri="{C3380CC4-5D6E-409C-BE32-E72D297353CC}">
              <c16:uniqueId val="{00000002-D22D-4F57-8975-BBC08CFB19A1}"/>
            </c:ext>
          </c:extLst>
        </c:ser>
        <c:dLbls>
          <c:showLegendKey val="0"/>
          <c:showVal val="0"/>
          <c:showCatName val="0"/>
          <c:showSerName val="0"/>
          <c:showPercent val="0"/>
          <c:showBubbleSize val="0"/>
        </c:dLbls>
        <c:gapWidth val="219"/>
        <c:overlap val="-27"/>
        <c:axId val="614934248"/>
        <c:axId val="614935560"/>
      </c:barChart>
      <c:catAx>
        <c:axId val="614934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35560"/>
        <c:crosses val="autoZero"/>
        <c:auto val="1"/>
        <c:lblAlgn val="ctr"/>
        <c:lblOffset val="100"/>
        <c:noMultiLvlLbl val="0"/>
      </c:catAx>
      <c:valAx>
        <c:axId val="614935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Electricity Consumption, kWh</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34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AU"/>
              <a:t>Cumulative Cash Flow</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1"/>
          <c:order val="1"/>
          <c:tx>
            <c:v>Discounted Cash Flow</c:v>
          </c:tx>
          <c:spPr>
            <a:ln w="28575" cap="rnd">
              <a:solidFill>
                <a:srgbClr val="008080"/>
              </a:solidFill>
              <a:round/>
            </a:ln>
            <a:effectLst/>
          </c:spPr>
          <c:marker>
            <c:symbol val="none"/>
          </c:marker>
          <c:xVal>
            <c:numRef>
              <c:f>Sheet1!$A$6:$A$31</c:f>
              <c:numCache>
                <c:formatCode>#,##0</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Sheet1!$U$6:$U$31</c:f>
              <c:numCache>
                <c:formatCode>"$"#,##0;[Red]\-"$"#,##0</c:formatCode>
                <c:ptCount val="26"/>
                <c:pt idx="0">
                  <c:v>-19500000</c:v>
                </c:pt>
                <c:pt idx="1">
                  <c:v>-17874505.888914905</c:v>
                </c:pt>
                <c:pt idx="2">
                  <c:v>-15918058.872383069</c:v>
                </c:pt>
                <c:pt idx="3">
                  <c:v>-13909620.698618812</c:v>
                </c:pt>
                <c:pt idx="4">
                  <c:v>-12207352.791514115</c:v>
                </c:pt>
                <c:pt idx="5">
                  <c:v>-10729709.567631055</c:v>
                </c:pt>
                <c:pt idx="6">
                  <c:v>-10018770.897052012</c:v>
                </c:pt>
                <c:pt idx="7">
                  <c:v>-9421299.1188840568</c:v>
                </c:pt>
                <c:pt idx="8">
                  <c:v>-8856230.9496209454</c:v>
                </c:pt>
                <c:pt idx="9">
                  <c:v>-8344776.9882239262</c:v>
                </c:pt>
                <c:pt idx="10">
                  <c:v>-7883207.7791471798</c:v>
                </c:pt>
                <c:pt idx="11">
                  <c:v>-7468025.9554367745</c:v>
                </c:pt>
                <c:pt idx="12">
                  <c:v>-7095952.6065953514</c:v>
                </c:pt>
                <c:pt idx="13">
                  <c:v>-6763914.4188777981</c:v>
                </c:pt>
                <c:pt idx="14">
                  <c:v>-6469031.5453238813</c:v>
                </c:pt>
                <c:pt idx="15">
                  <c:v>-6174576.8084613802</c:v>
                </c:pt>
                <c:pt idx="16">
                  <c:v>-5865079.4431199469</c:v>
                </c:pt>
                <c:pt idx="17">
                  <c:v>-5511896.0441127978</c:v>
                </c:pt>
                <c:pt idx="18">
                  <c:v>-5105320.3333978876</c:v>
                </c:pt>
                <c:pt idx="19">
                  <c:v>-4637375.8578338865</c:v>
                </c:pt>
                <c:pt idx="20">
                  <c:v>-4141585.6059382791</c:v>
                </c:pt>
                <c:pt idx="21">
                  <c:v>-3672486.0133486702</c:v>
                </c:pt>
                <c:pt idx="22">
                  <c:v>-3228743.1989942617</c:v>
                </c:pt>
                <c:pt idx="23">
                  <c:v>-2809088.1912532365</c:v>
                </c:pt>
                <c:pt idx="24">
                  <c:v>-2412313.8014262379</c:v>
                </c:pt>
                <c:pt idx="25">
                  <c:v>-2037271.6472027237</c:v>
                </c:pt>
              </c:numCache>
            </c:numRef>
          </c:yVal>
          <c:smooth val="1"/>
          <c:extLst>
            <c:ext xmlns:c16="http://schemas.microsoft.com/office/drawing/2014/chart" uri="{C3380CC4-5D6E-409C-BE32-E72D297353CC}">
              <c16:uniqueId val="{00000001-58AE-4099-BBA7-7A9144BF4953}"/>
            </c:ext>
          </c:extLst>
        </c:ser>
        <c:dLbls>
          <c:showLegendKey val="0"/>
          <c:showVal val="0"/>
          <c:showCatName val="0"/>
          <c:showSerName val="0"/>
          <c:showPercent val="0"/>
          <c:showBubbleSize val="0"/>
        </c:dLbls>
        <c:axId val="658643568"/>
        <c:axId val="658642912"/>
        <c:extLst>
          <c:ext xmlns:c15="http://schemas.microsoft.com/office/drawing/2012/chart" uri="{02D57815-91ED-43cb-92C2-25804820EDAC}">
            <c15:filteredScatterSeries>
              <c15:ser>
                <c:idx val="0"/>
                <c:order val="0"/>
                <c:tx>
                  <c:v>Net Cash Flow</c:v>
                </c:tx>
                <c:spPr>
                  <a:ln w="28575" cap="rnd">
                    <a:solidFill>
                      <a:srgbClr val="008080"/>
                    </a:solidFill>
                    <a:round/>
                  </a:ln>
                  <a:effectLst/>
                </c:spPr>
                <c:marker>
                  <c:symbol val="none"/>
                </c:marker>
                <c:xVal>
                  <c:numRef>
                    <c:extLst>
                      <c:ext uri="{02D57815-91ED-43cb-92C2-25804820EDAC}">
                        <c15:formulaRef>
                          <c15:sqref>Sheet1!$A$6:$A$31</c15:sqref>
                        </c15:formulaRef>
                      </c:ext>
                    </c:extLst>
                    <c:numCache>
                      <c:formatCode>#,##0</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extLst>
                      <c:ext uri="{02D57815-91ED-43cb-92C2-25804820EDAC}">
                        <c15:formulaRef>
                          <c15:sqref>Sheet1!$S$6:$S$31</c15:sqref>
                        </c15:formulaRef>
                      </c:ext>
                    </c:extLst>
                    <c:numCache>
                      <c:formatCode>"$"#,##0;[Red]\-"$"#,##0</c:formatCode>
                      <c:ptCount val="26"/>
                      <c:pt idx="0">
                        <c:v>-19500000</c:v>
                      </c:pt>
                      <c:pt idx="1">
                        <c:v>-17801358.653916076</c:v>
                      </c:pt>
                      <c:pt idx="2">
                        <c:v>-15664869.600687899</c:v>
                      </c:pt>
                      <c:pt idx="3">
                        <c:v>-13372907.992631266</c:v>
                      </c:pt>
                      <c:pt idx="4">
                        <c:v>-11342921.850161927</c:v>
                      </c:pt>
                      <c:pt idx="5">
                        <c:v>-9501509.5542633235</c:v>
                      </c:pt>
                      <c:pt idx="6">
                        <c:v>-8575682.4723561332</c:v>
                      </c:pt>
                      <c:pt idx="7">
                        <c:v>-7762605.9346669195</c:v>
                      </c:pt>
                      <c:pt idx="8">
                        <c:v>-6959022.1448633885</c:v>
                      </c:pt>
                      <c:pt idx="9">
                        <c:v>-6198952.898285659</c:v>
                      </c:pt>
                      <c:pt idx="10">
                        <c:v>-5482150.0305760335</c:v>
                      </c:pt>
                      <c:pt idx="11">
                        <c:v>-4808370.9434438059</c:v>
                      </c:pt>
                      <c:pt idx="12">
                        <c:v>-4177378.6595158759</c:v>
                      </c:pt>
                      <c:pt idx="13">
                        <c:v>-3588941.8791073831</c:v>
                      </c:pt>
                      <c:pt idx="14">
                        <c:v>-3042835.0389569872</c:v>
                      </c:pt>
                      <c:pt idx="15">
                        <c:v>-2472981.9564219639</c:v>
                      </c:pt>
                      <c:pt idx="16">
                        <c:v>-1847063.7223139484</c:v>
                      </c:pt>
                      <c:pt idx="17">
                        <c:v>-1100654.1172047132</c:v>
                      </c:pt>
                      <c:pt idx="18">
                        <c:v>-202740.29317194514</c:v>
                      </c:pt>
                      <c:pt idx="19">
                        <c:v>877210.18966335186</c:v>
                      </c:pt>
                      <c:pt idx="20">
                        <c:v>2072914.4935376574</c:v>
                      </c:pt>
                      <c:pt idx="21">
                        <c:v>3255158.5930237533</c:v>
                      </c:pt>
                      <c:pt idx="22">
                        <c:v>4423822.7470718594</c:v>
                      </c:pt>
                      <c:pt idx="23">
                        <c:v>5578783.1372856516</c:v>
                      </c:pt>
                      <c:pt idx="24">
                        <c:v>6719911.7714077011</c:v>
                      </c:pt>
                      <c:pt idx="25">
                        <c:v>7847076.3843649477</c:v>
                      </c:pt>
                    </c:numCache>
                  </c:numRef>
                </c:yVal>
                <c:smooth val="1"/>
                <c:extLst>
                  <c:ext xmlns:c16="http://schemas.microsoft.com/office/drawing/2014/chart" uri="{C3380CC4-5D6E-409C-BE32-E72D297353CC}">
                    <c16:uniqueId val="{00000000-58AE-4099-BBA7-7A9144BF4953}"/>
                  </c:ext>
                </c:extLst>
              </c15:ser>
            </c15:filteredScatterSeries>
          </c:ext>
        </c:extLst>
      </c:scatterChart>
      <c:valAx>
        <c:axId val="6586435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AU"/>
                  <a:t>Year</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42912"/>
        <c:crosses val="autoZero"/>
        <c:crossBetween val="midCat"/>
      </c:valAx>
      <c:valAx>
        <c:axId val="6586429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6435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15874</xdr:colOff>
      <xdr:row>19</xdr:row>
      <xdr:rowOff>158750</xdr:rowOff>
    </xdr:from>
    <xdr:to>
      <xdr:col>11</xdr:col>
      <xdr:colOff>386124</xdr:colOff>
      <xdr:row>34</xdr:row>
      <xdr:rowOff>172650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95250</xdr:colOff>
      <xdr:row>19</xdr:row>
      <xdr:rowOff>158749</xdr:rowOff>
    </xdr:from>
    <xdr:to>
      <xdr:col>17</xdr:col>
      <xdr:colOff>948100</xdr:colOff>
      <xdr:row>34</xdr:row>
      <xdr:rowOff>172649</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102305</xdr:colOff>
      <xdr:row>7</xdr:row>
      <xdr:rowOff>9525</xdr:rowOff>
    </xdr:from>
    <xdr:to>
      <xdr:col>17</xdr:col>
      <xdr:colOff>955155</xdr:colOff>
      <xdr:row>19</xdr:row>
      <xdr:rowOff>61525</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15875</xdr:colOff>
      <xdr:row>7</xdr:row>
      <xdr:rowOff>9525</xdr:rowOff>
    </xdr:from>
    <xdr:to>
      <xdr:col>11</xdr:col>
      <xdr:colOff>386125</xdr:colOff>
      <xdr:row>19</xdr:row>
      <xdr:rowOff>61525</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E70"/>
  <sheetViews>
    <sheetView zoomScale="70" zoomScaleNormal="70" workbookViewId="0">
      <selection activeCell="B60" sqref="B60"/>
    </sheetView>
  </sheetViews>
  <sheetFormatPr defaultColWidth="0" defaultRowHeight="15" zeroHeight="1" x14ac:dyDescent="0.25"/>
  <cols>
    <col min="1" max="1" width="9.42578125" bestFit="1" customWidth="1"/>
    <col min="2" max="2" width="23.5703125" customWidth="1"/>
    <col min="3" max="3" width="34.85546875" style="1" customWidth="1"/>
    <col min="4" max="4" width="91.85546875" customWidth="1"/>
    <col min="5" max="5" width="8.7109375" customWidth="1"/>
    <col min="6" max="16384" width="8.7109375" hidden="1"/>
  </cols>
  <sheetData>
    <row r="1" spans="1:5" ht="18.75" x14ac:dyDescent="0.25">
      <c r="A1" s="125" t="s">
        <v>123</v>
      </c>
      <c r="B1" s="126"/>
      <c r="C1" s="126"/>
      <c r="D1" s="127"/>
      <c r="E1" s="56"/>
    </row>
    <row r="2" spans="1:5" x14ac:dyDescent="0.25">
      <c r="A2" s="59" t="s">
        <v>238</v>
      </c>
      <c r="B2" s="53" t="s">
        <v>239</v>
      </c>
      <c r="C2" s="53"/>
      <c r="D2" s="53"/>
      <c r="E2" s="58"/>
    </row>
    <row r="3" spans="1:5" x14ac:dyDescent="0.25">
      <c r="A3" s="59" t="s">
        <v>118</v>
      </c>
      <c r="B3" s="53"/>
      <c r="C3" s="53"/>
      <c r="D3" s="53"/>
      <c r="E3" s="58"/>
    </row>
    <row r="4" spans="1:5" x14ac:dyDescent="0.25">
      <c r="A4" s="57"/>
      <c r="B4" s="25"/>
      <c r="C4" s="53" t="s">
        <v>121</v>
      </c>
      <c r="D4" s="53"/>
      <c r="E4" s="58"/>
    </row>
    <row r="5" spans="1:5" x14ac:dyDescent="0.25">
      <c r="A5" s="57"/>
      <c r="B5" s="67"/>
      <c r="C5" s="53" t="s">
        <v>122</v>
      </c>
      <c r="D5" s="53"/>
      <c r="E5" s="58"/>
    </row>
    <row r="6" spans="1:5" x14ac:dyDescent="0.25">
      <c r="A6" s="57"/>
      <c r="B6" s="113"/>
      <c r="C6" s="53" t="s">
        <v>213</v>
      </c>
      <c r="D6" s="53"/>
      <c r="E6" s="58"/>
    </row>
    <row r="7" spans="1:5" x14ac:dyDescent="0.25">
      <c r="A7" s="57"/>
      <c r="B7" s="53"/>
      <c r="C7" s="53"/>
      <c r="D7" s="53"/>
      <c r="E7" s="58"/>
    </row>
    <row r="8" spans="1:5" ht="18.75" x14ac:dyDescent="0.25">
      <c r="A8" s="131" t="s">
        <v>204</v>
      </c>
      <c r="B8" s="132"/>
      <c r="C8" s="132"/>
      <c r="D8" s="133"/>
      <c r="E8" s="58"/>
    </row>
    <row r="9" spans="1:5" x14ac:dyDescent="0.25">
      <c r="A9" s="60"/>
      <c r="B9" s="52"/>
      <c r="C9" s="52"/>
      <c r="D9" s="52"/>
      <c r="E9" s="58"/>
    </row>
    <row r="10" spans="1:5" x14ac:dyDescent="0.25">
      <c r="A10" s="57"/>
      <c r="B10" s="54" t="s">
        <v>124</v>
      </c>
      <c r="C10" s="53"/>
      <c r="D10" s="53"/>
      <c r="E10" s="58"/>
    </row>
    <row r="11" spans="1:5" x14ac:dyDescent="0.25">
      <c r="A11" s="57"/>
      <c r="B11" s="54" t="s">
        <v>125</v>
      </c>
      <c r="C11" s="53"/>
      <c r="D11" s="53"/>
      <c r="E11" s="58"/>
    </row>
    <row r="12" spans="1:5" x14ac:dyDescent="0.25">
      <c r="A12" s="57"/>
      <c r="B12" s="53"/>
      <c r="C12" s="53"/>
      <c r="D12" s="53"/>
      <c r="E12" s="58"/>
    </row>
    <row r="13" spans="1:5" x14ac:dyDescent="0.25">
      <c r="A13" s="57"/>
      <c r="B13" s="43" t="s">
        <v>119</v>
      </c>
      <c r="C13" s="43" t="s">
        <v>130</v>
      </c>
      <c r="D13" s="43" t="s">
        <v>120</v>
      </c>
      <c r="E13" s="58"/>
    </row>
    <row r="14" spans="1:5" s="1" customFormat="1" x14ac:dyDescent="0.25">
      <c r="A14" s="57"/>
      <c r="B14" s="136" t="s">
        <v>66</v>
      </c>
      <c r="C14" s="136"/>
      <c r="D14" s="136"/>
      <c r="E14" s="58"/>
    </row>
    <row r="15" spans="1:5" x14ac:dyDescent="0.25">
      <c r="A15" s="57"/>
      <c r="B15" s="47" t="s">
        <v>68</v>
      </c>
      <c r="C15" s="48" t="s">
        <v>214</v>
      </c>
      <c r="D15" s="47" t="s">
        <v>133</v>
      </c>
      <c r="E15" s="58"/>
    </row>
    <row r="16" spans="1:5" s="1" customFormat="1" ht="30" x14ac:dyDescent="0.25">
      <c r="A16" s="57"/>
      <c r="B16" s="47" t="s">
        <v>196</v>
      </c>
      <c r="C16" s="48" t="s">
        <v>214</v>
      </c>
      <c r="D16" s="110" t="s">
        <v>206</v>
      </c>
      <c r="E16" s="58"/>
    </row>
    <row r="17" spans="1:5" x14ac:dyDescent="0.25">
      <c r="A17" s="57"/>
      <c r="B17" s="47" t="s">
        <v>79</v>
      </c>
      <c r="C17" s="48" t="s">
        <v>236</v>
      </c>
      <c r="D17" s="47" t="s">
        <v>237</v>
      </c>
      <c r="E17" s="58"/>
    </row>
    <row r="18" spans="1:5" x14ac:dyDescent="0.25">
      <c r="A18" s="57"/>
      <c r="B18" s="47" t="s">
        <v>67</v>
      </c>
      <c r="C18" s="48" t="s">
        <v>140</v>
      </c>
      <c r="D18" s="47" t="s">
        <v>126</v>
      </c>
      <c r="E18" s="58"/>
    </row>
    <row r="19" spans="1:5" x14ac:dyDescent="0.25">
      <c r="A19" s="57"/>
      <c r="B19" s="47" t="s">
        <v>39</v>
      </c>
      <c r="C19" s="48" t="s">
        <v>141</v>
      </c>
      <c r="D19" s="47" t="s">
        <v>127</v>
      </c>
      <c r="E19" s="58"/>
    </row>
    <row r="20" spans="1:5" x14ac:dyDescent="0.25">
      <c r="A20" s="57"/>
      <c r="B20" s="47" t="s">
        <v>107</v>
      </c>
      <c r="C20" s="49">
        <v>5.0000000000000001E-3</v>
      </c>
      <c r="D20" s="47" t="s">
        <v>131</v>
      </c>
      <c r="E20" s="58"/>
    </row>
    <row r="21" spans="1:5" s="1" customFormat="1" x14ac:dyDescent="0.25">
      <c r="A21" s="57"/>
      <c r="B21" s="47" t="s">
        <v>105</v>
      </c>
      <c r="C21" s="84" t="s">
        <v>144</v>
      </c>
      <c r="D21" s="47" t="s">
        <v>199</v>
      </c>
      <c r="E21" s="58"/>
    </row>
    <row r="22" spans="1:5" s="1" customFormat="1" x14ac:dyDescent="0.25">
      <c r="A22" s="57"/>
      <c r="B22" s="47" t="s">
        <v>240</v>
      </c>
      <c r="C22" s="49">
        <v>2.5000000000000001E-2</v>
      </c>
      <c r="D22" s="47" t="s">
        <v>241</v>
      </c>
      <c r="E22" s="58"/>
    </row>
    <row r="23" spans="1:5" x14ac:dyDescent="0.25">
      <c r="A23" s="57"/>
      <c r="B23" s="136" t="s">
        <v>69</v>
      </c>
      <c r="C23" s="136"/>
      <c r="D23" s="136"/>
      <c r="E23" s="58"/>
    </row>
    <row r="24" spans="1:5" x14ac:dyDescent="0.25">
      <c r="A24" s="57"/>
      <c r="B24" s="47" t="s">
        <v>170</v>
      </c>
      <c r="C24" s="65" t="s">
        <v>252</v>
      </c>
      <c r="D24" s="47" t="s">
        <v>200</v>
      </c>
      <c r="E24" s="58"/>
    </row>
    <row r="25" spans="1:5" x14ac:dyDescent="0.25">
      <c r="A25" s="57"/>
      <c r="B25" s="47" t="s">
        <v>171</v>
      </c>
      <c r="C25" s="65" t="s">
        <v>229</v>
      </c>
      <c r="D25" s="47" t="s">
        <v>201</v>
      </c>
      <c r="E25" s="58"/>
    </row>
    <row r="26" spans="1:5" s="1" customFormat="1" x14ac:dyDescent="0.25">
      <c r="A26" s="57"/>
      <c r="B26" s="47" t="s">
        <v>231</v>
      </c>
      <c r="C26" s="49">
        <v>1</v>
      </c>
      <c r="D26" s="47" t="s">
        <v>232</v>
      </c>
      <c r="E26" s="58"/>
    </row>
    <row r="27" spans="1:5" s="1" customFormat="1" x14ac:dyDescent="0.25">
      <c r="A27" s="57"/>
      <c r="B27" s="47" t="s">
        <v>164</v>
      </c>
      <c r="C27" s="66" t="s">
        <v>256</v>
      </c>
      <c r="D27" s="47" t="s">
        <v>176</v>
      </c>
      <c r="E27" s="58"/>
    </row>
    <row r="28" spans="1:5" s="1" customFormat="1" x14ac:dyDescent="0.25">
      <c r="A28" s="57"/>
      <c r="B28" s="47" t="s">
        <v>165</v>
      </c>
      <c r="C28" s="66" t="s">
        <v>255</v>
      </c>
      <c r="D28" s="47" t="s">
        <v>177</v>
      </c>
      <c r="E28" s="58"/>
    </row>
    <row r="29" spans="1:5" s="1" customFormat="1" x14ac:dyDescent="0.25">
      <c r="A29" s="57"/>
      <c r="B29" s="47" t="s">
        <v>166</v>
      </c>
      <c r="C29" s="66" t="s">
        <v>253</v>
      </c>
      <c r="D29" s="47" t="s">
        <v>178</v>
      </c>
      <c r="E29" s="58"/>
    </row>
    <row r="30" spans="1:5" s="1" customFormat="1" x14ac:dyDescent="0.25">
      <c r="A30" s="57"/>
      <c r="B30" s="47" t="s">
        <v>167</v>
      </c>
      <c r="C30" s="66" t="s">
        <v>254</v>
      </c>
      <c r="D30" s="47" t="s">
        <v>179</v>
      </c>
      <c r="E30" s="58"/>
    </row>
    <row r="31" spans="1:5" s="1" customFormat="1" x14ac:dyDescent="0.25">
      <c r="A31" s="57"/>
      <c r="B31" s="47" t="s">
        <v>168</v>
      </c>
      <c r="C31" s="66" t="s">
        <v>257</v>
      </c>
      <c r="D31" s="47" t="s">
        <v>180</v>
      </c>
      <c r="E31" s="58"/>
    </row>
    <row r="32" spans="1:5" s="1" customFormat="1" x14ac:dyDescent="0.25">
      <c r="A32" s="57"/>
      <c r="B32" s="47" t="s">
        <v>169</v>
      </c>
      <c r="C32" s="66" t="s">
        <v>258</v>
      </c>
      <c r="D32" s="47" t="s">
        <v>181</v>
      </c>
      <c r="E32" s="58"/>
    </row>
    <row r="33" spans="1:5" x14ac:dyDescent="0.25">
      <c r="A33" s="57"/>
      <c r="B33" s="47" t="s">
        <v>117</v>
      </c>
      <c r="C33" s="48" t="s">
        <v>145</v>
      </c>
      <c r="D33" s="47" t="s">
        <v>207</v>
      </c>
      <c r="E33" s="58"/>
    </row>
    <row r="34" spans="1:5" x14ac:dyDescent="0.25">
      <c r="A34" s="57"/>
      <c r="B34" s="47" t="s">
        <v>38</v>
      </c>
      <c r="C34" s="48" t="s">
        <v>142</v>
      </c>
      <c r="D34" s="47" t="s">
        <v>128</v>
      </c>
      <c r="E34" s="58"/>
    </row>
    <row r="35" spans="1:5" s="1" customFormat="1" x14ac:dyDescent="0.25">
      <c r="A35" s="57"/>
      <c r="B35" s="47" t="s">
        <v>61</v>
      </c>
      <c r="C35" s="48" t="s">
        <v>214</v>
      </c>
      <c r="D35" s="47" t="s">
        <v>260</v>
      </c>
      <c r="E35" s="58"/>
    </row>
    <row r="36" spans="1:5" x14ac:dyDescent="0.25">
      <c r="A36" s="57"/>
      <c r="B36" s="47" t="s">
        <v>69</v>
      </c>
      <c r="C36" s="49">
        <v>3.4000000000000002E-2</v>
      </c>
      <c r="D36" s="47" t="s">
        <v>259</v>
      </c>
      <c r="E36" s="58"/>
    </row>
    <row r="37" spans="1:5" x14ac:dyDescent="0.25">
      <c r="A37" s="57"/>
      <c r="B37" s="136" t="s">
        <v>110</v>
      </c>
      <c r="C37" s="136"/>
      <c r="D37" s="136"/>
      <c r="E37" s="58"/>
    </row>
    <row r="38" spans="1:5" x14ac:dyDescent="0.25">
      <c r="A38" s="57"/>
      <c r="B38" s="47" t="s">
        <v>70</v>
      </c>
      <c r="C38" s="48" t="s">
        <v>70</v>
      </c>
      <c r="D38" s="47" t="s">
        <v>215</v>
      </c>
      <c r="E38" s="58"/>
    </row>
    <row r="39" spans="1:5" x14ac:dyDescent="0.25">
      <c r="A39" s="57"/>
      <c r="B39" s="47" t="s">
        <v>62</v>
      </c>
      <c r="C39" s="50" t="s">
        <v>217</v>
      </c>
      <c r="D39" s="47" t="s">
        <v>216</v>
      </c>
      <c r="E39" s="58"/>
    </row>
    <row r="40" spans="1:5" x14ac:dyDescent="0.25">
      <c r="A40" s="57"/>
      <c r="B40" s="47" t="s">
        <v>208</v>
      </c>
      <c r="C40" s="51">
        <v>0.05</v>
      </c>
      <c r="D40" s="47" t="s">
        <v>134</v>
      </c>
      <c r="E40" s="58"/>
    </row>
    <row r="41" spans="1:5" x14ac:dyDescent="0.25">
      <c r="A41" s="57"/>
      <c r="B41" s="47" t="s">
        <v>64</v>
      </c>
      <c r="C41" s="48" t="s">
        <v>146</v>
      </c>
      <c r="D41" s="47" t="s">
        <v>218</v>
      </c>
      <c r="E41" s="58"/>
    </row>
    <row r="42" spans="1:5" x14ac:dyDescent="0.25">
      <c r="A42" s="57"/>
      <c r="B42" s="47" t="s">
        <v>65</v>
      </c>
      <c r="C42" s="51">
        <v>1</v>
      </c>
      <c r="D42" s="47" t="s">
        <v>135</v>
      </c>
      <c r="E42" s="58"/>
    </row>
    <row r="43" spans="1:5" x14ac:dyDescent="0.25">
      <c r="A43" s="57"/>
      <c r="B43" s="136" t="s">
        <v>71</v>
      </c>
      <c r="C43" s="136"/>
      <c r="D43" s="136"/>
      <c r="E43" s="58"/>
    </row>
    <row r="44" spans="1:5" x14ac:dyDescent="0.25">
      <c r="A44" s="57"/>
      <c r="B44" s="47" t="s">
        <v>72</v>
      </c>
      <c r="C44" s="48" t="s">
        <v>145</v>
      </c>
      <c r="D44" s="47" t="s">
        <v>136</v>
      </c>
      <c r="E44" s="58"/>
    </row>
    <row r="45" spans="1:5" x14ac:dyDescent="0.25">
      <c r="A45" s="57"/>
      <c r="B45" s="47" t="s">
        <v>24</v>
      </c>
      <c r="C45" s="48" t="s">
        <v>16</v>
      </c>
      <c r="D45" s="47" t="s">
        <v>137</v>
      </c>
      <c r="E45" s="58"/>
    </row>
    <row r="46" spans="1:5" x14ac:dyDescent="0.25">
      <c r="A46" s="57"/>
      <c r="B46" s="47" t="s">
        <v>25</v>
      </c>
      <c r="C46" s="48" t="s">
        <v>147</v>
      </c>
      <c r="D46" s="47" t="s">
        <v>219</v>
      </c>
      <c r="E46" s="58"/>
    </row>
    <row r="47" spans="1:5" x14ac:dyDescent="0.25">
      <c r="A47" s="57"/>
      <c r="B47" s="136" t="s">
        <v>182</v>
      </c>
      <c r="C47" s="136"/>
      <c r="D47" s="136"/>
      <c r="E47" s="58"/>
    </row>
    <row r="48" spans="1:5" s="1" customFormat="1" x14ac:dyDescent="0.25">
      <c r="A48" s="57"/>
      <c r="B48" s="47" t="s">
        <v>55</v>
      </c>
      <c r="C48" s="49">
        <v>4.4999999999999998E-2</v>
      </c>
      <c r="D48" s="47" t="s">
        <v>132</v>
      </c>
      <c r="E48" s="58"/>
    </row>
    <row r="49" spans="1:5" s="1" customFormat="1" x14ac:dyDescent="0.25">
      <c r="A49" s="57"/>
      <c r="B49" s="47" t="s">
        <v>58</v>
      </c>
      <c r="C49" s="48" t="s">
        <v>143</v>
      </c>
      <c r="D49" s="47" t="s">
        <v>129</v>
      </c>
      <c r="E49" s="58"/>
    </row>
    <row r="50" spans="1:5" x14ac:dyDescent="0.25">
      <c r="A50" s="57"/>
      <c r="B50" s="47" t="s">
        <v>72</v>
      </c>
      <c r="C50" s="48" t="s">
        <v>145</v>
      </c>
      <c r="D50" s="47" t="s">
        <v>138</v>
      </c>
      <c r="E50" s="58"/>
    </row>
    <row r="51" spans="1:5" x14ac:dyDescent="0.25">
      <c r="A51" s="57"/>
      <c r="B51" s="47" t="s">
        <v>73</v>
      </c>
      <c r="C51" s="51">
        <v>0</v>
      </c>
      <c r="D51" s="47" t="s">
        <v>139</v>
      </c>
      <c r="E51" s="58"/>
    </row>
    <row r="52" spans="1:5" x14ac:dyDescent="0.25">
      <c r="A52" s="57"/>
      <c r="B52" s="47" t="s">
        <v>185</v>
      </c>
      <c r="C52" s="84" t="s">
        <v>202</v>
      </c>
      <c r="D52" s="47" t="s">
        <v>220</v>
      </c>
      <c r="E52" s="58"/>
    </row>
    <row r="53" spans="1:5" x14ac:dyDescent="0.25">
      <c r="A53" s="57"/>
      <c r="B53" s="47" t="s">
        <v>186</v>
      </c>
      <c r="C53" s="49">
        <v>3.9699999999999999E-2</v>
      </c>
      <c r="D53" s="47" t="s">
        <v>222</v>
      </c>
      <c r="E53" s="58"/>
    </row>
    <row r="54" spans="1:5" s="1" customFormat="1" x14ac:dyDescent="0.25">
      <c r="A54" s="57"/>
      <c r="B54" s="47" t="s">
        <v>187</v>
      </c>
      <c r="C54" s="49" t="s">
        <v>203</v>
      </c>
      <c r="D54" s="47" t="s">
        <v>221</v>
      </c>
      <c r="E54" s="58"/>
    </row>
    <row r="55" spans="1:5" s="1" customFormat="1" x14ac:dyDescent="0.25">
      <c r="A55" s="57"/>
      <c r="B55" s="47" t="s">
        <v>188</v>
      </c>
      <c r="C55" s="49">
        <v>3.9699999999999999E-2</v>
      </c>
      <c r="D55" s="47" t="s">
        <v>223</v>
      </c>
      <c r="E55" s="58"/>
    </row>
    <row r="56" spans="1:5" x14ac:dyDescent="0.25">
      <c r="A56" s="57"/>
      <c r="B56" s="53"/>
      <c r="C56" s="53"/>
      <c r="D56" s="53"/>
      <c r="E56" s="58"/>
    </row>
    <row r="57" spans="1:5" ht="18.75" x14ac:dyDescent="0.25">
      <c r="A57" s="131" t="s">
        <v>148</v>
      </c>
      <c r="B57" s="132"/>
      <c r="C57" s="132"/>
      <c r="D57" s="133"/>
      <c r="E57" s="58"/>
    </row>
    <row r="58" spans="1:5" x14ac:dyDescent="0.25">
      <c r="A58" s="57"/>
      <c r="B58" s="53"/>
      <c r="C58" s="53"/>
      <c r="D58" s="53"/>
      <c r="E58" s="58"/>
    </row>
    <row r="59" spans="1:5" x14ac:dyDescent="0.25">
      <c r="A59" s="57"/>
      <c r="B59" s="43" t="s">
        <v>149</v>
      </c>
      <c r="C59" s="130" t="s">
        <v>150</v>
      </c>
      <c r="D59" s="130"/>
      <c r="E59" s="58"/>
    </row>
    <row r="60" spans="1:5" ht="142.5" customHeight="1" x14ac:dyDescent="0.25">
      <c r="A60" s="57"/>
      <c r="B60" s="44" t="s">
        <v>153</v>
      </c>
      <c r="C60" s="137" t="s">
        <v>262</v>
      </c>
      <c r="D60" s="137"/>
      <c r="E60" s="58"/>
    </row>
    <row r="61" spans="1:5" ht="67.5" customHeight="1" x14ac:dyDescent="0.25">
      <c r="A61" s="57"/>
      <c r="B61" s="45" t="s">
        <v>209</v>
      </c>
      <c r="C61" s="134" t="s">
        <v>210</v>
      </c>
      <c r="D61" s="134"/>
      <c r="E61" s="58"/>
    </row>
    <row r="62" spans="1:5" s="1" customFormat="1" ht="120.75" customHeight="1" x14ac:dyDescent="0.25">
      <c r="A62" s="57"/>
      <c r="B62" s="45" t="s">
        <v>154</v>
      </c>
      <c r="C62" s="135" t="s">
        <v>261</v>
      </c>
      <c r="D62" s="135"/>
      <c r="E62" s="58"/>
    </row>
    <row r="63" spans="1:5" s="1" customFormat="1" ht="93.95" customHeight="1" x14ac:dyDescent="0.25">
      <c r="A63" s="57"/>
      <c r="B63" s="45" t="s">
        <v>155</v>
      </c>
      <c r="C63" s="128" t="s">
        <v>161</v>
      </c>
      <c r="D63" s="128"/>
      <c r="E63" s="58"/>
    </row>
    <row r="64" spans="1:5" s="1" customFormat="1" ht="93.95" customHeight="1" x14ac:dyDescent="0.25">
      <c r="A64" s="57"/>
      <c r="B64" s="45" t="s">
        <v>205</v>
      </c>
      <c r="C64" s="138" t="s">
        <v>211</v>
      </c>
      <c r="D64" s="139"/>
      <c r="E64" s="58"/>
    </row>
    <row r="65" spans="1:5" ht="45" customHeight="1" x14ac:dyDescent="0.25">
      <c r="A65" s="57"/>
      <c r="B65" s="46" t="s">
        <v>151</v>
      </c>
      <c r="C65" s="128" t="s">
        <v>159</v>
      </c>
      <c r="D65" s="128"/>
      <c r="E65" s="58"/>
    </row>
    <row r="66" spans="1:5" ht="42.6" customHeight="1" x14ac:dyDescent="0.25">
      <c r="A66" s="57"/>
      <c r="B66" s="46" t="s">
        <v>152</v>
      </c>
      <c r="C66" s="129" t="s">
        <v>160</v>
      </c>
      <c r="D66" s="129"/>
      <c r="E66" s="58"/>
    </row>
    <row r="67" spans="1:5" ht="15.75" thickBot="1" x14ac:dyDescent="0.3">
      <c r="A67" s="61"/>
      <c r="B67" s="62"/>
      <c r="C67" s="62" t="s">
        <v>156</v>
      </c>
      <c r="D67" s="62" t="s">
        <v>157</v>
      </c>
      <c r="E67" s="63"/>
    </row>
    <row r="68" spans="1:5" hidden="1" x14ac:dyDescent="0.25">
      <c r="E68" s="55"/>
    </row>
    <row r="69" spans="1:5" hidden="1" x14ac:dyDescent="0.25">
      <c r="C69" s="55" t="s">
        <v>158</v>
      </c>
      <c r="D69" s="55"/>
    </row>
    <row r="70" spans="1:5" hidden="1" x14ac:dyDescent="0.25"/>
  </sheetData>
  <sheetProtection algorithmName="SHA-512" hashValue="f1y7auRLGV2CdbpIOmTKlnvyqjVGrmKySJpGKjCWdw1w6qenngFHP8RQMvqlI+bJIulOFnSthsFa9cY2KflyDg==" saltValue="h8ZwMU4tvAApB1jzoz1g3w==" spinCount="100000" sheet="1" objects="1" scenarios="1" selectLockedCells="1" selectUnlockedCells="1"/>
  <mergeCells count="16">
    <mergeCell ref="A1:D1"/>
    <mergeCell ref="C65:D65"/>
    <mergeCell ref="C66:D66"/>
    <mergeCell ref="C59:D59"/>
    <mergeCell ref="A8:D8"/>
    <mergeCell ref="A57:D57"/>
    <mergeCell ref="C61:D61"/>
    <mergeCell ref="C62:D62"/>
    <mergeCell ref="C63:D63"/>
    <mergeCell ref="B14:D14"/>
    <mergeCell ref="B23:D23"/>
    <mergeCell ref="B37:D37"/>
    <mergeCell ref="B43:D43"/>
    <mergeCell ref="B47:D47"/>
    <mergeCell ref="C60:D60"/>
    <mergeCell ref="C64:D64"/>
  </mergeCells>
  <conditionalFormatting sqref="B6">
    <cfRule type="expression" dxfId="7" priority="1">
      <formula>$T$30="N"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8080"/>
  </sheetPr>
  <dimension ref="A1:AB55"/>
  <sheetViews>
    <sheetView tabSelected="1" topLeftCell="A2" zoomScale="90" zoomScaleNormal="90" workbookViewId="0">
      <selection activeCell="E15" sqref="E15"/>
    </sheetView>
  </sheetViews>
  <sheetFormatPr defaultColWidth="0" defaultRowHeight="15" zeroHeight="1" x14ac:dyDescent="0.25"/>
  <cols>
    <col min="1" max="1" width="19.7109375" customWidth="1"/>
    <col min="2" max="2" width="8.140625" customWidth="1"/>
    <col min="3" max="3" width="11.140625" style="1" customWidth="1"/>
    <col min="4" max="4" width="16.5703125" customWidth="1"/>
    <col min="5" max="5" width="15.5703125" customWidth="1"/>
    <col min="6" max="6" width="15.28515625" customWidth="1"/>
    <col min="7" max="7" width="9" customWidth="1"/>
    <col min="8" max="9" width="7.5703125" style="1" customWidth="1"/>
    <col min="10" max="10" width="13.85546875" customWidth="1"/>
    <col min="11" max="11" width="12" customWidth="1"/>
    <col min="12" max="12" width="11.140625" customWidth="1"/>
    <col min="13" max="13" width="8.85546875" customWidth="1"/>
    <col min="14" max="14" width="11" customWidth="1"/>
    <col min="15" max="15" width="10" customWidth="1"/>
    <col min="16" max="16" width="9.5703125" customWidth="1"/>
    <col min="17" max="17" width="8.7109375" customWidth="1"/>
    <col min="18" max="18" width="13.7109375" customWidth="1"/>
    <col min="19" max="19" width="15.5703125" customWidth="1"/>
    <col min="20" max="20" width="17" customWidth="1"/>
    <col min="21" max="21" width="12.5703125" customWidth="1"/>
    <col min="22" max="22" width="16.5703125" customWidth="1"/>
    <col min="23" max="23" width="12.5703125" customWidth="1"/>
    <col min="24" max="24" width="12.28515625" hidden="1" customWidth="1"/>
    <col min="25" max="25" width="17" hidden="1" customWidth="1"/>
    <col min="26" max="28" width="0" hidden="1" customWidth="1"/>
    <col min="29" max="16384" width="8.7109375" hidden="1"/>
  </cols>
  <sheetData>
    <row r="1" spans="1:28" s="1" customFormat="1" ht="36.75" thickTop="1" x14ac:dyDescent="0.55000000000000004">
      <c r="A1" s="86" t="s">
        <v>230</v>
      </c>
      <c r="B1" s="87"/>
      <c r="C1" s="87"/>
      <c r="D1" s="87"/>
      <c r="E1" s="87"/>
      <c r="F1" s="87"/>
      <c r="G1" s="87"/>
      <c r="H1" s="87"/>
      <c r="I1" s="87"/>
      <c r="J1" s="87"/>
      <c r="K1" s="87"/>
      <c r="L1" s="87"/>
      <c r="M1" s="87"/>
      <c r="N1" s="87"/>
      <c r="O1" s="87"/>
      <c r="P1" s="87"/>
      <c r="Q1" s="87"/>
      <c r="R1" s="87"/>
      <c r="S1" s="87"/>
      <c r="T1" s="87"/>
      <c r="U1" s="87"/>
      <c r="V1" s="87"/>
      <c r="W1" s="88"/>
    </row>
    <row r="2" spans="1:28" ht="32.25" customHeight="1" x14ac:dyDescent="0.25">
      <c r="A2" s="91" t="s">
        <v>21</v>
      </c>
      <c r="B2" s="157">
        <v>42956</v>
      </c>
      <c r="C2" s="157"/>
      <c r="D2" s="89"/>
      <c r="E2" s="89"/>
      <c r="F2" s="89"/>
      <c r="G2" s="89"/>
      <c r="H2" s="89"/>
      <c r="I2" s="89"/>
      <c r="J2" s="89"/>
      <c r="K2" s="89"/>
      <c r="L2" s="89"/>
      <c r="M2" s="89"/>
      <c r="N2" s="89"/>
      <c r="O2" s="92"/>
      <c r="P2" s="92"/>
      <c r="Q2" s="92"/>
      <c r="R2" s="92"/>
      <c r="S2" s="92"/>
      <c r="T2" s="92"/>
      <c r="U2" s="92" t="s">
        <v>59</v>
      </c>
      <c r="V2" s="92">
        <v>2</v>
      </c>
      <c r="W2" s="90"/>
      <c r="X2" s="1"/>
      <c r="Y2" s="1"/>
      <c r="Z2" s="1"/>
      <c r="AA2" s="1"/>
      <c r="AB2" s="1"/>
    </row>
    <row r="3" spans="1:28" ht="15.75" thickBot="1" x14ac:dyDescent="0.3">
      <c r="A3" s="93"/>
      <c r="B3" s="53"/>
      <c r="C3" s="53"/>
      <c r="D3" s="53"/>
      <c r="E3" s="53"/>
      <c r="F3" s="53"/>
      <c r="G3" s="53"/>
      <c r="H3" s="53"/>
      <c r="I3" s="53"/>
      <c r="J3" s="53"/>
      <c r="K3" s="53"/>
      <c r="L3" s="53"/>
      <c r="M3" s="53"/>
      <c r="N3" s="53"/>
      <c r="O3" s="53"/>
      <c r="P3" s="53"/>
      <c r="Q3" s="53"/>
      <c r="R3" s="53"/>
      <c r="S3" s="53"/>
      <c r="T3" s="53"/>
      <c r="U3" s="53"/>
      <c r="V3" s="53"/>
      <c r="W3" s="90"/>
    </row>
    <row r="4" spans="1:28" ht="15" customHeight="1" thickTop="1" x14ac:dyDescent="0.25">
      <c r="A4" s="150" t="s">
        <v>162</v>
      </c>
      <c r="B4" s="144"/>
      <c r="C4" s="144"/>
      <c r="D4" s="145"/>
      <c r="E4" s="53"/>
      <c r="F4" s="140" t="s">
        <v>212</v>
      </c>
      <c r="G4" s="141"/>
      <c r="H4" s="141"/>
      <c r="I4" s="141"/>
      <c r="J4" s="141"/>
      <c r="K4" s="141"/>
      <c r="L4" s="141"/>
      <c r="M4" s="141"/>
      <c r="N4" s="141"/>
      <c r="O4" s="141"/>
      <c r="P4" s="141"/>
      <c r="Q4" s="141"/>
      <c r="R4" s="142"/>
      <c r="S4" s="53"/>
      <c r="T4" s="143" t="s">
        <v>197</v>
      </c>
      <c r="U4" s="144"/>
      <c r="V4" s="145"/>
      <c r="W4" s="90"/>
    </row>
    <row r="5" spans="1:28" ht="50.1" customHeight="1" x14ac:dyDescent="0.25">
      <c r="A5" s="146" t="str">
        <f>"This scenario assesses the installation of "&amp;TEXT(B15,"0")&amp;"kW of solar PV "&amp;IF(U20="Y","with batteries, for ","without batteries, for ")&amp;TEXT(B14,"0")&amp;" council(s) in "&amp;TEXT(B12,"0")&amp;"."</f>
        <v>This scenario assesses the installation of 7800kW of solar PV without batteries, for 1 council(s) in Melbourne (Metro).</v>
      </c>
      <c r="B5" s="147"/>
      <c r="C5" s="147"/>
      <c r="D5" s="148"/>
      <c r="E5" s="53"/>
      <c r="F5" s="99" t="s">
        <v>68</v>
      </c>
      <c r="G5" s="68" t="s">
        <v>80</v>
      </c>
      <c r="H5" s="68" t="s">
        <v>81</v>
      </c>
      <c r="I5" s="68" t="s">
        <v>195</v>
      </c>
      <c r="J5" s="68" t="s">
        <v>83</v>
      </c>
      <c r="K5" s="68" t="s">
        <v>54</v>
      </c>
      <c r="L5" s="68" t="s">
        <v>82</v>
      </c>
      <c r="M5" s="68" t="s">
        <v>44</v>
      </c>
      <c r="N5" s="68" t="s">
        <v>263</v>
      </c>
      <c r="O5" s="68" t="s">
        <v>264</v>
      </c>
      <c r="P5" s="68" t="s">
        <v>265</v>
      </c>
      <c r="Q5" s="68" t="s">
        <v>45</v>
      </c>
      <c r="R5" s="100" t="s">
        <v>266</v>
      </c>
      <c r="S5" s="53"/>
      <c r="T5" s="149" t="str">
        <f>IF(L6&gt;1.01,"WARNING: Solar array size too large","No Warning")</f>
        <v>No Warning</v>
      </c>
      <c r="U5" s="147"/>
      <c r="V5" s="148"/>
      <c r="W5" s="90"/>
    </row>
    <row r="6" spans="1:28" ht="15.75" thickBot="1" x14ac:dyDescent="0.3">
      <c r="A6" s="94"/>
      <c r="B6" s="85"/>
      <c r="C6" s="85"/>
      <c r="D6" s="85"/>
      <c r="E6" s="53"/>
      <c r="F6" s="101" t="str">
        <f>B12</f>
        <v>Melbourne (Metro)</v>
      </c>
      <c r="G6" s="102">
        <f>B14</f>
        <v>1</v>
      </c>
      <c r="H6" s="102">
        <f>B15</f>
        <v>7800</v>
      </c>
      <c r="I6" s="115">
        <f>15000*B15/1000/10000</f>
        <v>11.7</v>
      </c>
      <c r="J6" s="102">
        <f>Working!AI3</f>
        <v>11344176.12718052</v>
      </c>
      <c r="K6" s="102">
        <f>Working!AI4</f>
        <v>11361342.129600001</v>
      </c>
      <c r="L6" s="103">
        <f>K6/J6</f>
        <v>1.0015131995683981</v>
      </c>
      <c r="M6" s="104">
        <f>IF(U20="Y",Working!BN8/Working!BN4,Working!AI8/Working!AI4)</f>
        <v>0.66977347744947335</v>
      </c>
      <c r="N6" s="105">
        <f>B15*B16+IF(U20="Y",U21*U22,0)</f>
        <v>19500000</v>
      </c>
      <c r="O6" s="105">
        <f>SUM(Sheet1!K7:K36)</f>
        <v>3897842.3685246394</v>
      </c>
      <c r="P6" s="105">
        <f>IF(U20="N",SUM(Working!AJ9:AL9),SUM(Working!BO9:BP9))</f>
        <v>706439.48504770116</v>
      </c>
      <c r="Q6" s="106">
        <f>(N6-O6)/(P6+Sheet1!J7)</f>
        <v>28.344909940687259</v>
      </c>
      <c r="R6" s="107">
        <f>IF(U28="Y",NPV('Summary Sheet'!U26,Sheet1!Q7:Q31)+Sheet1!Q6,NPV('Summary Sheet'!U26,Sheet1!L7:L31)+Sheet1!L6)</f>
        <v>-2037271.6472027265</v>
      </c>
      <c r="S6" s="108"/>
      <c r="T6" s="85"/>
      <c r="U6" s="85"/>
      <c r="V6" s="85"/>
      <c r="W6" s="90"/>
    </row>
    <row r="7" spans="1:28" ht="14.45" customHeight="1" thickTop="1" x14ac:dyDescent="0.25">
      <c r="A7" s="150" t="s">
        <v>163</v>
      </c>
      <c r="B7" s="144"/>
      <c r="C7" s="144"/>
      <c r="D7" s="145"/>
      <c r="E7" s="53"/>
      <c r="F7" s="53"/>
      <c r="G7" s="53"/>
      <c r="H7" s="53"/>
      <c r="I7" s="53"/>
      <c r="J7" s="53"/>
      <c r="K7" s="53"/>
      <c r="L7" s="53"/>
      <c r="M7" s="53"/>
      <c r="N7" s="53"/>
      <c r="O7" s="53"/>
      <c r="P7" s="53"/>
      <c r="Q7" s="53"/>
      <c r="R7" s="53"/>
      <c r="S7" s="53"/>
      <c r="T7" s="143" t="s">
        <v>198</v>
      </c>
      <c r="U7" s="144"/>
      <c r="V7" s="145"/>
      <c r="W7" s="90"/>
    </row>
    <row r="8" spans="1:28" ht="48.75" customHeight="1" x14ac:dyDescent="0.25">
      <c r="A8" s="146" t="s">
        <v>184</v>
      </c>
      <c r="B8" s="147"/>
      <c r="C8" s="147"/>
      <c r="D8" s="148"/>
      <c r="E8" s="53"/>
      <c r="F8" s="76"/>
      <c r="G8" s="77"/>
      <c r="H8" s="77"/>
      <c r="I8" s="77"/>
      <c r="J8" s="77"/>
      <c r="K8" s="77"/>
      <c r="L8" s="77"/>
      <c r="M8" s="77"/>
      <c r="N8" s="77"/>
      <c r="O8" s="77"/>
      <c r="P8" s="77"/>
      <c r="Q8" s="77"/>
      <c r="R8" s="78"/>
      <c r="S8" s="53"/>
      <c r="T8" s="149" t="str">
        <f>IF(AND(Working!BR31-Working!BR47&gt;0,U20="Y"),"WARNING: Battery is oversized for solar array",IF(AND(Working!CN27=0,U20="Y",U21&gt;0),"WARNING: Battery is oversized for solar array","No Warning"))</f>
        <v>No Warning</v>
      </c>
      <c r="U8" s="147"/>
      <c r="V8" s="148"/>
      <c r="W8" s="90"/>
    </row>
    <row r="9" spans="1:28" s="1" customFormat="1" x14ac:dyDescent="0.25">
      <c r="A9" s="93"/>
      <c r="B9" s="53"/>
      <c r="C9" s="53"/>
      <c r="D9" s="53"/>
      <c r="E9" s="53"/>
      <c r="F9" s="79"/>
      <c r="G9" s="53"/>
      <c r="H9" s="53"/>
      <c r="I9" s="53"/>
      <c r="J9" s="53"/>
      <c r="K9" s="53"/>
      <c r="L9" s="53"/>
      <c r="M9" s="53"/>
      <c r="N9" s="53"/>
      <c r="O9" s="53"/>
      <c r="P9" s="53"/>
      <c r="Q9" s="53"/>
      <c r="R9" s="80"/>
      <c r="S9" s="53"/>
      <c r="T9" s="53"/>
      <c r="U9" s="53"/>
      <c r="V9" s="53"/>
      <c r="W9" s="90"/>
    </row>
    <row r="10" spans="1:28" ht="14.45" customHeight="1" x14ac:dyDescent="0.25">
      <c r="A10" s="150" t="s">
        <v>66</v>
      </c>
      <c r="B10" s="144"/>
      <c r="C10" s="144"/>
      <c r="D10" s="145"/>
      <c r="E10" s="53"/>
      <c r="F10" s="79"/>
      <c r="G10" s="53"/>
      <c r="H10" s="53"/>
      <c r="I10" s="53"/>
      <c r="J10" s="53"/>
      <c r="K10" s="53"/>
      <c r="L10" s="53"/>
      <c r="M10" s="53"/>
      <c r="N10" s="53"/>
      <c r="O10" s="53"/>
      <c r="P10" s="53"/>
      <c r="Q10" s="53"/>
      <c r="R10" s="80"/>
      <c r="S10" s="53"/>
      <c r="T10" s="143" t="s">
        <v>110</v>
      </c>
      <c r="U10" s="144"/>
      <c r="V10" s="145"/>
      <c r="W10" s="90"/>
    </row>
    <row r="11" spans="1:28" x14ac:dyDescent="0.25">
      <c r="A11" s="111" t="s">
        <v>60</v>
      </c>
      <c r="B11" s="158" t="s">
        <v>47</v>
      </c>
      <c r="C11" s="159"/>
      <c r="D11" s="112" t="s">
        <v>28</v>
      </c>
      <c r="E11" s="53"/>
      <c r="F11" s="79"/>
      <c r="G11" s="53"/>
      <c r="H11" s="53"/>
      <c r="I11" s="53"/>
      <c r="J11" s="53"/>
      <c r="K11" s="53"/>
      <c r="L11" s="53"/>
      <c r="M11" s="53"/>
      <c r="N11" s="53"/>
      <c r="O11" s="53"/>
      <c r="P11" s="53"/>
      <c r="Q11" s="53"/>
      <c r="R11" s="80"/>
      <c r="S11" s="53"/>
      <c r="T11" s="112" t="s">
        <v>60</v>
      </c>
      <c r="U11" s="112" t="s">
        <v>47</v>
      </c>
      <c r="V11" s="112" t="s">
        <v>109</v>
      </c>
      <c r="W11" s="90"/>
    </row>
    <row r="12" spans="1:28" s="1" customFormat="1" x14ac:dyDescent="0.25">
      <c r="A12" s="95" t="s">
        <v>68</v>
      </c>
      <c r="B12" s="166" t="s">
        <v>267</v>
      </c>
      <c r="C12" s="167"/>
      <c r="D12" s="2"/>
      <c r="E12" s="53"/>
      <c r="F12" s="79"/>
      <c r="G12" s="53"/>
      <c r="H12" s="53"/>
      <c r="I12" s="53"/>
      <c r="J12" s="53"/>
      <c r="K12" s="53"/>
      <c r="L12" s="53"/>
      <c r="M12" s="53"/>
      <c r="N12" s="53"/>
      <c r="O12" s="53"/>
      <c r="P12" s="53"/>
      <c r="Q12" s="53"/>
      <c r="R12" s="80"/>
      <c r="S12" s="53"/>
      <c r="T12" s="2" t="s">
        <v>70</v>
      </c>
      <c r="U12" s="64" t="s">
        <v>111</v>
      </c>
      <c r="V12" s="2"/>
      <c r="W12" s="90"/>
    </row>
    <row r="13" spans="1:28" s="1" customFormat="1" x14ac:dyDescent="0.25">
      <c r="A13" s="109" t="s">
        <v>196</v>
      </c>
      <c r="B13" s="168" t="s">
        <v>194</v>
      </c>
      <c r="C13" s="169"/>
      <c r="D13" s="2"/>
      <c r="E13" s="53"/>
      <c r="F13" s="79"/>
      <c r="G13" s="53"/>
      <c r="H13" s="53"/>
      <c r="I13" s="53"/>
      <c r="J13" s="53"/>
      <c r="K13" s="53"/>
      <c r="L13" s="53"/>
      <c r="M13" s="53"/>
      <c r="N13" s="53"/>
      <c r="O13" s="53"/>
      <c r="P13" s="53"/>
      <c r="Q13" s="53"/>
      <c r="R13" s="80"/>
      <c r="S13" s="53"/>
      <c r="T13" s="2" t="s">
        <v>62</v>
      </c>
      <c r="U13" s="39">
        <v>80</v>
      </c>
      <c r="V13" s="2" t="s">
        <v>235</v>
      </c>
      <c r="W13" s="90"/>
    </row>
    <row r="14" spans="1:28" s="1" customFormat="1" x14ac:dyDescent="0.25">
      <c r="A14" s="95" t="s">
        <v>79</v>
      </c>
      <c r="B14" s="170">
        <v>1</v>
      </c>
      <c r="C14" s="171"/>
      <c r="D14" s="2"/>
      <c r="E14" s="53"/>
      <c r="F14" s="79"/>
      <c r="G14" s="53"/>
      <c r="H14" s="53"/>
      <c r="I14" s="53"/>
      <c r="J14" s="53"/>
      <c r="K14" s="53"/>
      <c r="L14" s="53"/>
      <c r="M14" s="53"/>
      <c r="N14" s="53"/>
      <c r="O14" s="53"/>
      <c r="P14" s="53"/>
      <c r="Q14" s="53"/>
      <c r="R14" s="80"/>
      <c r="S14" s="53"/>
      <c r="T14" s="2" t="s">
        <v>63</v>
      </c>
      <c r="U14" s="33">
        <v>0.05</v>
      </c>
      <c r="V14" s="2" t="s">
        <v>234</v>
      </c>
      <c r="W14" s="90"/>
    </row>
    <row r="15" spans="1:28" x14ac:dyDescent="0.25">
      <c r="A15" s="95" t="s">
        <v>67</v>
      </c>
      <c r="B15" s="172">
        <v>7800</v>
      </c>
      <c r="C15" s="173"/>
      <c r="D15" s="2" t="s">
        <v>19</v>
      </c>
      <c r="E15" s="53"/>
      <c r="F15" s="79"/>
      <c r="G15" s="53"/>
      <c r="H15" s="53"/>
      <c r="I15" s="53"/>
      <c r="J15" s="53"/>
      <c r="K15" s="53"/>
      <c r="L15" s="53"/>
      <c r="M15" s="53"/>
      <c r="N15" s="53"/>
      <c r="O15" s="53"/>
      <c r="P15" s="53"/>
      <c r="Q15" s="53"/>
      <c r="R15" s="80"/>
      <c r="S15" s="53"/>
      <c r="T15" s="2" t="s">
        <v>64</v>
      </c>
      <c r="U15" s="23">
        <v>5</v>
      </c>
      <c r="V15" s="2" t="s">
        <v>57</v>
      </c>
      <c r="W15" s="90"/>
    </row>
    <row r="16" spans="1:28" x14ac:dyDescent="0.25">
      <c r="A16" s="95" t="s">
        <v>39</v>
      </c>
      <c r="B16" s="174">
        <v>2500</v>
      </c>
      <c r="C16" s="175"/>
      <c r="D16" s="2" t="s">
        <v>17</v>
      </c>
      <c r="E16" s="53"/>
      <c r="F16" s="79"/>
      <c r="G16" s="53"/>
      <c r="H16" s="53"/>
      <c r="I16" s="53"/>
      <c r="J16" s="53"/>
      <c r="K16" s="53"/>
      <c r="L16" s="53"/>
      <c r="M16" s="53"/>
      <c r="N16" s="53"/>
      <c r="O16" s="53"/>
      <c r="P16" s="53"/>
      <c r="Q16" s="53"/>
      <c r="R16" s="80"/>
      <c r="S16" s="53"/>
      <c r="T16" s="2" t="s">
        <v>65</v>
      </c>
      <c r="U16" s="35">
        <v>1</v>
      </c>
      <c r="V16" s="2"/>
      <c r="W16" s="90"/>
    </row>
    <row r="17" spans="1:23" x14ac:dyDescent="0.25">
      <c r="A17" s="95" t="s">
        <v>107</v>
      </c>
      <c r="B17" s="160">
        <v>5.0000000000000001E-3</v>
      </c>
      <c r="C17" s="161"/>
      <c r="D17" s="2"/>
      <c r="E17" s="53"/>
      <c r="F17" s="79"/>
      <c r="G17" s="53"/>
      <c r="H17" s="53"/>
      <c r="I17" s="53"/>
      <c r="J17" s="53"/>
      <c r="K17" s="53"/>
      <c r="L17" s="53"/>
      <c r="M17" s="53"/>
      <c r="N17" s="53"/>
      <c r="O17" s="53"/>
      <c r="P17" s="53"/>
      <c r="Q17" s="53"/>
      <c r="R17" s="80"/>
      <c r="S17" s="53"/>
      <c r="T17" s="53"/>
      <c r="U17" s="53"/>
      <c r="V17" s="53"/>
      <c r="W17" s="90"/>
    </row>
    <row r="18" spans="1:23" s="1" customFormat="1" x14ac:dyDescent="0.25">
      <c r="A18" s="95" t="s">
        <v>105</v>
      </c>
      <c r="B18" s="176">
        <v>20</v>
      </c>
      <c r="C18" s="177"/>
      <c r="D18" s="2" t="s">
        <v>17</v>
      </c>
      <c r="E18" s="53"/>
      <c r="F18" s="79"/>
      <c r="G18" s="53"/>
      <c r="H18" s="53"/>
      <c r="I18" s="53"/>
      <c r="J18" s="53"/>
      <c r="K18" s="53"/>
      <c r="L18" s="53"/>
      <c r="M18" s="53"/>
      <c r="N18" s="53"/>
      <c r="O18" s="53"/>
      <c r="P18" s="53"/>
      <c r="Q18" s="53"/>
      <c r="R18" s="80"/>
      <c r="S18" s="53"/>
      <c r="T18" s="72" t="s">
        <v>71</v>
      </c>
      <c r="U18" s="73"/>
      <c r="V18" s="74"/>
      <c r="W18" s="90"/>
    </row>
    <row r="19" spans="1:23" s="1" customFormat="1" x14ac:dyDescent="0.25">
      <c r="A19" s="95" t="s">
        <v>240</v>
      </c>
      <c r="B19" s="160">
        <v>2.5000000000000001E-2</v>
      </c>
      <c r="C19" s="161"/>
      <c r="D19" s="2"/>
      <c r="E19" s="53"/>
      <c r="F19" s="79"/>
      <c r="G19" s="53"/>
      <c r="H19" s="53"/>
      <c r="I19" s="53"/>
      <c r="J19" s="53"/>
      <c r="K19" s="53"/>
      <c r="L19" s="53"/>
      <c r="M19" s="53"/>
      <c r="N19" s="53"/>
      <c r="O19" s="53"/>
      <c r="P19" s="53"/>
      <c r="Q19" s="53"/>
      <c r="R19" s="80"/>
      <c r="S19" s="53"/>
      <c r="T19" s="112" t="s">
        <v>60</v>
      </c>
      <c r="U19" s="112" t="s">
        <v>47</v>
      </c>
      <c r="V19" s="112" t="s">
        <v>28</v>
      </c>
      <c r="W19" s="90"/>
    </row>
    <row r="20" spans="1:23" x14ac:dyDescent="0.25">
      <c r="A20" s="93"/>
      <c r="B20" s="53"/>
      <c r="C20" s="53"/>
      <c r="D20" s="53"/>
      <c r="E20" s="53"/>
      <c r="F20" s="79"/>
      <c r="G20" s="53"/>
      <c r="H20" s="53"/>
      <c r="I20" s="53"/>
      <c r="J20" s="53"/>
      <c r="K20" s="53"/>
      <c r="L20" s="53"/>
      <c r="M20" s="53"/>
      <c r="N20" s="53"/>
      <c r="O20" s="53"/>
      <c r="P20" s="53"/>
      <c r="Q20" s="53"/>
      <c r="R20" s="80"/>
      <c r="S20" s="53"/>
      <c r="T20" s="2" t="s">
        <v>72</v>
      </c>
      <c r="U20" s="64" t="s">
        <v>76</v>
      </c>
      <c r="V20" s="2"/>
      <c r="W20" s="90"/>
    </row>
    <row r="21" spans="1:23" s="1" customFormat="1" ht="14.45" customHeight="1" x14ac:dyDescent="0.25">
      <c r="A21" s="150" t="s">
        <v>175</v>
      </c>
      <c r="B21" s="144"/>
      <c r="C21" s="144"/>
      <c r="D21" s="145"/>
      <c r="E21" s="53"/>
      <c r="F21" s="79"/>
      <c r="G21" s="53"/>
      <c r="H21" s="53"/>
      <c r="I21" s="53"/>
      <c r="J21" s="53"/>
      <c r="K21" s="53"/>
      <c r="L21" s="53"/>
      <c r="M21" s="53"/>
      <c r="N21" s="53"/>
      <c r="O21" s="53"/>
      <c r="P21" s="53"/>
      <c r="Q21" s="53"/>
      <c r="R21" s="80"/>
      <c r="S21" s="53"/>
      <c r="T21" s="2" t="s">
        <v>24</v>
      </c>
      <c r="U21" s="23">
        <v>15000</v>
      </c>
      <c r="V21" s="2" t="s">
        <v>16</v>
      </c>
      <c r="W21" s="90"/>
    </row>
    <row r="22" spans="1:23" s="1" customFormat="1" x14ac:dyDescent="0.25">
      <c r="A22" s="111" t="s">
        <v>60</v>
      </c>
      <c r="B22" s="158" t="s">
        <v>47</v>
      </c>
      <c r="C22" s="159"/>
      <c r="D22" s="112" t="s">
        <v>28</v>
      </c>
      <c r="E22" s="53"/>
      <c r="F22" s="79"/>
      <c r="G22" s="53"/>
      <c r="H22" s="53"/>
      <c r="I22" s="53"/>
      <c r="J22" s="53"/>
      <c r="K22" s="53"/>
      <c r="L22" s="53"/>
      <c r="M22" s="53"/>
      <c r="N22" s="53"/>
      <c r="O22" s="53"/>
      <c r="P22" s="53"/>
      <c r="Q22" s="53"/>
      <c r="R22" s="80"/>
      <c r="S22" s="53"/>
      <c r="T22" s="2" t="s">
        <v>25</v>
      </c>
      <c r="U22" s="24">
        <v>2000</v>
      </c>
      <c r="V22" s="2" t="s">
        <v>27</v>
      </c>
      <c r="W22" s="90"/>
    </row>
    <row r="23" spans="1:23" s="1" customFormat="1" x14ac:dyDescent="0.25">
      <c r="A23" s="95" t="s">
        <v>170</v>
      </c>
      <c r="B23" s="162">
        <f>IF(B13=Working!M4,C25*Working!$J$3*B25+'Summary Sheet'!C27*Working!$J$2*B27+'Summary Sheet'!C29*Working!$J$1*B29,IF('Summary Sheet'!B13=Working!M3,'Summary Sheet'!C29*B29,IF('Summary Sheet'!B13=Working!M2,'Summary Sheet'!C27*B27,'Summary Sheet'!C25*B25)))</f>
        <v>5.8340229421728569E-2</v>
      </c>
      <c r="C23" s="163"/>
      <c r="D23" s="2" t="s">
        <v>27</v>
      </c>
      <c r="E23" s="53"/>
      <c r="F23" s="79"/>
      <c r="G23" s="53"/>
      <c r="H23" s="53"/>
      <c r="I23" s="53"/>
      <c r="J23" s="53"/>
      <c r="K23" s="53"/>
      <c r="L23" s="53"/>
      <c r="M23" s="53"/>
      <c r="N23" s="53"/>
      <c r="O23" s="53"/>
      <c r="P23" s="53"/>
      <c r="Q23" s="53"/>
      <c r="R23" s="80"/>
      <c r="S23" s="53"/>
      <c r="T23" s="53"/>
      <c r="U23" s="53"/>
      <c r="V23" s="53"/>
      <c r="W23" s="90"/>
    </row>
    <row r="24" spans="1:23" s="1" customFormat="1" x14ac:dyDescent="0.25">
      <c r="A24" s="95" t="s">
        <v>171</v>
      </c>
      <c r="B24" s="164">
        <f>IF(B13=Working!M4,C26*Working!$J$3*B25+'Summary Sheet'!C28*Working!$J$2*B27+'Summary Sheet'!C30*Working!$J$1*B29,IF('Summary Sheet'!B13=Working!M3,'Summary Sheet'!C30*B29,IF('Summary Sheet'!B13=Working!M2,'Summary Sheet'!C28*B27,'Summary Sheet'!C26*B25)))</f>
        <v>3.7883944540492251E-2</v>
      </c>
      <c r="C24" s="165"/>
      <c r="D24" s="2" t="s">
        <v>27</v>
      </c>
      <c r="E24" s="53"/>
      <c r="F24" s="79"/>
      <c r="G24" s="53"/>
      <c r="H24" s="53"/>
      <c r="I24" s="53"/>
      <c r="J24" s="53"/>
      <c r="K24" s="53"/>
      <c r="L24" s="53"/>
      <c r="M24" s="53"/>
      <c r="N24" s="53"/>
      <c r="O24" s="53"/>
      <c r="P24" s="53"/>
      <c r="Q24" s="53"/>
      <c r="R24" s="80"/>
      <c r="S24" s="53"/>
      <c r="T24" s="72" t="s">
        <v>182</v>
      </c>
      <c r="U24" s="73"/>
      <c r="V24" s="74"/>
      <c r="W24" s="90"/>
    </row>
    <row r="25" spans="1:23" s="1" customFormat="1" x14ac:dyDescent="0.25">
      <c r="A25" s="95" t="s">
        <v>164</v>
      </c>
      <c r="B25" s="151">
        <v>1</v>
      </c>
      <c r="C25" s="121">
        <v>5.3129999999999997E-2</v>
      </c>
      <c r="D25" s="2" t="s">
        <v>27</v>
      </c>
      <c r="E25" s="53"/>
      <c r="F25" s="79"/>
      <c r="G25" s="53"/>
      <c r="H25" s="53"/>
      <c r="I25" s="53"/>
      <c r="J25" s="53"/>
      <c r="K25" s="53"/>
      <c r="L25" s="53"/>
      <c r="M25" s="53"/>
      <c r="N25" s="53"/>
      <c r="O25" s="53"/>
      <c r="P25" s="53"/>
      <c r="Q25" s="53"/>
      <c r="R25" s="80"/>
      <c r="S25" s="53"/>
      <c r="T25" s="112" t="s">
        <v>60</v>
      </c>
      <c r="U25" s="112" t="s">
        <v>47</v>
      </c>
      <c r="V25" s="112" t="s">
        <v>28</v>
      </c>
      <c r="W25" s="90"/>
    </row>
    <row r="26" spans="1:23" s="1" customFormat="1" x14ac:dyDescent="0.25">
      <c r="A26" s="95" t="s">
        <v>165</v>
      </c>
      <c r="B26" s="152"/>
      <c r="C26" s="121">
        <v>3.3669999999999999E-2</v>
      </c>
      <c r="D26" s="2" t="s">
        <v>27</v>
      </c>
      <c r="E26" s="53"/>
      <c r="F26" s="79"/>
      <c r="G26" s="53"/>
      <c r="H26" s="53"/>
      <c r="I26" s="53"/>
      <c r="J26" s="53"/>
      <c r="K26" s="53"/>
      <c r="L26" s="53"/>
      <c r="M26" s="53"/>
      <c r="N26" s="53"/>
      <c r="O26" s="53"/>
      <c r="P26" s="53"/>
      <c r="Q26" s="53"/>
      <c r="R26" s="80"/>
      <c r="S26" s="53"/>
      <c r="T26" s="2" t="s">
        <v>55</v>
      </c>
      <c r="U26" s="25">
        <v>4.4999999999999998E-2</v>
      </c>
      <c r="V26" s="2" t="s">
        <v>56</v>
      </c>
      <c r="W26" s="90"/>
    </row>
    <row r="27" spans="1:23" s="1" customFormat="1" x14ac:dyDescent="0.25">
      <c r="A27" s="95" t="s">
        <v>166</v>
      </c>
      <c r="B27" s="151">
        <v>1</v>
      </c>
      <c r="C27" s="121">
        <v>0.17150000000000001</v>
      </c>
      <c r="D27" s="2" t="s">
        <v>27</v>
      </c>
      <c r="E27" s="53"/>
      <c r="F27" s="79"/>
      <c r="G27" s="53"/>
      <c r="H27" s="53"/>
      <c r="I27" s="53"/>
      <c r="J27" s="53"/>
      <c r="K27" s="53"/>
      <c r="L27" s="53"/>
      <c r="M27" s="53"/>
      <c r="N27" s="53"/>
      <c r="O27" s="53"/>
      <c r="P27" s="53"/>
      <c r="Q27" s="53"/>
      <c r="R27" s="80"/>
      <c r="S27" s="53"/>
      <c r="T27" s="2" t="s">
        <v>58</v>
      </c>
      <c r="U27" s="23">
        <v>25</v>
      </c>
      <c r="V27" s="2" t="s">
        <v>57</v>
      </c>
      <c r="W27" s="90"/>
    </row>
    <row r="28" spans="1:23" s="1" customFormat="1" x14ac:dyDescent="0.25">
      <c r="A28" s="95" t="s">
        <v>167</v>
      </c>
      <c r="B28" s="152"/>
      <c r="C28" s="121">
        <v>8.4000000000000005E-2</v>
      </c>
      <c r="D28" s="2" t="s">
        <v>27</v>
      </c>
      <c r="E28" s="53"/>
      <c r="F28" s="79"/>
      <c r="G28" s="53"/>
      <c r="H28" s="53"/>
      <c r="I28" s="53"/>
      <c r="J28" s="53"/>
      <c r="K28" s="53"/>
      <c r="L28" s="53"/>
      <c r="M28" s="53"/>
      <c r="N28" s="53"/>
      <c r="O28" s="53"/>
      <c r="P28" s="53"/>
      <c r="Q28" s="53"/>
      <c r="R28" s="80"/>
      <c r="S28" s="53"/>
      <c r="T28" s="2" t="s">
        <v>183</v>
      </c>
      <c r="U28" s="64" t="s">
        <v>76</v>
      </c>
      <c r="V28" s="2"/>
      <c r="W28" s="90"/>
    </row>
    <row r="29" spans="1:23" s="1" customFormat="1" x14ac:dyDescent="0.25">
      <c r="A29" s="95" t="s">
        <v>168</v>
      </c>
      <c r="B29" s="151">
        <v>1</v>
      </c>
      <c r="C29" s="121">
        <v>4.1300000000000003E-2</v>
      </c>
      <c r="D29" s="2" t="s">
        <v>27</v>
      </c>
      <c r="E29" s="53"/>
      <c r="F29" s="79"/>
      <c r="G29" s="53"/>
      <c r="H29" s="53"/>
      <c r="I29" s="53"/>
      <c r="J29" s="53"/>
      <c r="K29" s="53"/>
      <c r="L29" s="53"/>
      <c r="M29" s="53"/>
      <c r="N29" s="53"/>
      <c r="O29" s="53"/>
      <c r="P29" s="53"/>
      <c r="Q29" s="53"/>
      <c r="R29" s="80"/>
      <c r="S29" s="53"/>
      <c r="T29" s="2" t="s">
        <v>73</v>
      </c>
      <c r="U29" s="25">
        <v>0</v>
      </c>
      <c r="V29" s="2"/>
      <c r="W29" s="90"/>
    </row>
    <row r="30" spans="1:23" s="1" customFormat="1" x14ac:dyDescent="0.25">
      <c r="A30" s="95" t="s">
        <v>169</v>
      </c>
      <c r="B30" s="152"/>
      <c r="C30" s="121">
        <v>3.4329999999999999E-2</v>
      </c>
      <c r="D30" s="2" t="s">
        <v>27</v>
      </c>
      <c r="E30" s="53"/>
      <c r="F30" s="79"/>
      <c r="G30" s="53"/>
      <c r="H30" s="53"/>
      <c r="I30" s="53"/>
      <c r="J30" s="53"/>
      <c r="K30" s="53"/>
      <c r="L30" s="53"/>
      <c r="M30" s="53"/>
      <c r="N30" s="53"/>
      <c r="O30" s="53"/>
      <c r="P30" s="53"/>
      <c r="Q30" s="53"/>
      <c r="R30" s="80"/>
      <c r="S30" s="53"/>
      <c r="T30" s="2" t="s">
        <v>224</v>
      </c>
      <c r="U30" s="36">
        <v>25</v>
      </c>
      <c r="V30" s="2" t="s">
        <v>64</v>
      </c>
      <c r="W30" s="90"/>
    </row>
    <row r="31" spans="1:23" s="1" customFormat="1" x14ac:dyDescent="0.25">
      <c r="A31" s="95" t="s">
        <v>233</v>
      </c>
      <c r="B31" s="153" t="s">
        <v>75</v>
      </c>
      <c r="C31" s="154"/>
      <c r="D31" s="2"/>
      <c r="E31" s="53"/>
      <c r="F31" s="79"/>
      <c r="G31" s="53"/>
      <c r="H31" s="53"/>
      <c r="I31" s="53"/>
      <c r="J31" s="53"/>
      <c r="K31" s="53"/>
      <c r="L31" s="53"/>
      <c r="M31" s="53"/>
      <c r="N31" s="53"/>
      <c r="O31" s="53"/>
      <c r="P31" s="53"/>
      <c r="Q31" s="53"/>
      <c r="R31" s="80"/>
      <c r="S31" s="53"/>
      <c r="T31" s="2" t="s">
        <v>226</v>
      </c>
      <c r="U31" s="33">
        <v>3.9699999999999999E-2</v>
      </c>
      <c r="V31" s="2"/>
      <c r="W31" s="90"/>
    </row>
    <row r="32" spans="1:23" s="1" customFormat="1" x14ac:dyDescent="0.25">
      <c r="A32" s="95" t="s">
        <v>38</v>
      </c>
      <c r="B32" s="155">
        <v>0.06</v>
      </c>
      <c r="C32" s="156"/>
      <c r="D32" s="2" t="s">
        <v>27</v>
      </c>
      <c r="E32" s="53"/>
      <c r="F32" s="79"/>
      <c r="G32" s="53"/>
      <c r="H32" s="53"/>
      <c r="I32" s="53"/>
      <c r="J32" s="53"/>
      <c r="K32" s="53"/>
      <c r="L32" s="53"/>
      <c r="M32" s="53"/>
      <c r="N32" s="53"/>
      <c r="O32" s="53"/>
      <c r="P32" s="53"/>
      <c r="Q32" s="53"/>
      <c r="R32" s="80"/>
      <c r="S32" s="53"/>
      <c r="T32" s="2" t="s">
        <v>225</v>
      </c>
      <c r="U32" s="116">
        <f>U27-U30</f>
        <v>0</v>
      </c>
      <c r="V32" s="2" t="s">
        <v>64</v>
      </c>
      <c r="W32" s="90"/>
    </row>
    <row r="33" spans="1:23" s="1" customFormat="1" x14ac:dyDescent="0.25">
      <c r="A33" s="123" t="s">
        <v>61</v>
      </c>
      <c r="B33" s="153" t="s">
        <v>250</v>
      </c>
      <c r="C33" s="154"/>
      <c r="E33" s="53"/>
      <c r="F33" s="79"/>
      <c r="G33" s="53"/>
      <c r="H33" s="53"/>
      <c r="I33" s="53"/>
      <c r="J33" s="53"/>
      <c r="K33" s="53"/>
      <c r="L33" s="53"/>
      <c r="M33" s="53"/>
      <c r="N33" s="53"/>
      <c r="O33" s="53"/>
      <c r="P33" s="53"/>
      <c r="Q33" s="53"/>
      <c r="R33" s="80"/>
      <c r="S33" s="53"/>
      <c r="T33" s="2" t="s">
        <v>227</v>
      </c>
      <c r="U33" s="33">
        <v>3.9699999999999999E-2</v>
      </c>
      <c r="V33" s="2"/>
      <c r="W33" s="90"/>
    </row>
    <row r="34" spans="1:23" s="1" customFormat="1" x14ac:dyDescent="0.25">
      <c r="A34" s="95" t="s">
        <v>61</v>
      </c>
      <c r="B34" s="160">
        <v>3.4000000000000002E-2</v>
      </c>
      <c r="C34" s="161"/>
      <c r="D34" s="2" t="s">
        <v>56</v>
      </c>
      <c r="E34" s="53"/>
      <c r="F34" s="79"/>
      <c r="G34" s="53"/>
      <c r="H34" s="53"/>
      <c r="I34" s="53"/>
      <c r="J34" s="53"/>
      <c r="K34" s="53"/>
      <c r="L34" s="53"/>
      <c r="M34" s="53"/>
      <c r="N34" s="53"/>
      <c r="O34" s="53"/>
      <c r="P34" s="53"/>
      <c r="Q34" s="53"/>
      <c r="R34" s="80"/>
      <c r="S34" s="53"/>
      <c r="T34" s="117"/>
      <c r="U34" s="117"/>
      <c r="V34" s="117"/>
      <c r="W34" s="90"/>
    </row>
    <row r="35" spans="1:23" s="1" customFormat="1" x14ac:dyDescent="0.25">
      <c r="A35" s="120"/>
      <c r="B35" s="117"/>
      <c r="C35" s="117"/>
      <c r="D35" s="117"/>
      <c r="E35" s="53"/>
      <c r="F35" s="81"/>
      <c r="G35" s="82"/>
      <c r="H35" s="82"/>
      <c r="I35" s="82"/>
      <c r="J35" s="82"/>
      <c r="K35" s="82"/>
      <c r="L35" s="82"/>
      <c r="M35" s="82"/>
      <c r="N35" s="82"/>
      <c r="O35" s="82"/>
      <c r="P35" s="82"/>
      <c r="Q35" s="82"/>
      <c r="R35" s="83"/>
      <c r="S35" s="53"/>
      <c r="T35" s="117"/>
      <c r="U35" s="117"/>
      <c r="V35" s="117"/>
      <c r="W35" s="90"/>
    </row>
    <row r="36" spans="1:23" s="1" customFormat="1" ht="15.75" thickBot="1" x14ac:dyDescent="0.3">
      <c r="A36" s="119"/>
      <c r="B36" s="97"/>
      <c r="C36" s="97"/>
      <c r="D36" s="96"/>
      <c r="E36" s="97"/>
      <c r="F36" s="97"/>
      <c r="G36" s="97"/>
      <c r="H36" s="97"/>
      <c r="I36" s="97"/>
      <c r="J36" s="97"/>
      <c r="K36" s="97"/>
      <c r="L36" s="97"/>
      <c r="M36" s="97"/>
      <c r="N36" s="97"/>
      <c r="O36" s="97"/>
      <c r="P36" s="97"/>
      <c r="Q36" s="97"/>
      <c r="R36" s="97"/>
      <c r="S36" s="97"/>
      <c r="T36" s="97"/>
      <c r="U36" s="97"/>
      <c r="V36" s="97"/>
      <c r="W36" s="98"/>
    </row>
    <row r="37" spans="1:23" ht="15.75" hidden="1" thickTop="1" x14ac:dyDescent="0.25">
      <c r="K37" s="1"/>
      <c r="L37" s="1"/>
      <c r="M37" s="1"/>
      <c r="N37" s="1"/>
    </row>
    <row r="38" spans="1:23" s="1" customFormat="1" hidden="1" x14ac:dyDescent="0.25"/>
    <row r="39" spans="1:23" hidden="1" x14ac:dyDescent="0.25">
      <c r="K39" s="1"/>
      <c r="L39" s="1"/>
      <c r="M39" s="1"/>
      <c r="N39" s="1"/>
      <c r="O39" s="1"/>
      <c r="P39" s="1"/>
      <c r="Q39" s="1"/>
      <c r="R39" s="1"/>
      <c r="W39" s="1"/>
    </row>
    <row r="40" spans="1:23" hidden="1" x14ac:dyDescent="0.25">
      <c r="K40" s="1"/>
      <c r="L40" s="1"/>
      <c r="M40" s="1"/>
      <c r="N40" s="1"/>
      <c r="O40" s="1"/>
      <c r="P40" s="1"/>
      <c r="Q40" s="1"/>
      <c r="R40" s="1"/>
    </row>
    <row r="41" spans="1:23" hidden="1" x14ac:dyDescent="0.25">
      <c r="J41" s="1"/>
    </row>
    <row r="42" spans="1:23" hidden="1" x14ac:dyDescent="0.25"/>
    <row r="43" spans="1:23" hidden="1" x14ac:dyDescent="0.25">
      <c r="F43" s="1"/>
      <c r="G43" s="1"/>
      <c r="J43" s="1"/>
      <c r="K43" s="1"/>
      <c r="L43" s="1"/>
      <c r="M43" s="1"/>
      <c r="N43" s="1"/>
    </row>
    <row r="44" spans="1:23" hidden="1" x14ac:dyDescent="0.25">
      <c r="F44" s="1"/>
      <c r="G44" s="1"/>
      <c r="J44" s="1"/>
      <c r="K44" s="1"/>
      <c r="L44" s="1"/>
      <c r="M44" s="1"/>
      <c r="N44" s="1"/>
    </row>
    <row r="45" spans="1:23" s="1" customFormat="1" hidden="1" x14ac:dyDescent="0.25"/>
    <row r="46" spans="1:23" s="1" customFormat="1" hidden="1" x14ac:dyDescent="0.25"/>
    <row r="47" spans="1:23" s="1" customFormat="1" hidden="1" x14ac:dyDescent="0.25">
      <c r="J47"/>
    </row>
    <row r="48" spans="1:23" s="1" customFormat="1" hidden="1" x14ac:dyDescent="0.25"/>
    <row r="49" spans="5:18" s="1" customFormat="1" hidden="1" x14ac:dyDescent="0.25">
      <c r="J49"/>
      <c r="R49"/>
    </row>
    <row r="50" spans="5:18" hidden="1" x14ac:dyDescent="0.25">
      <c r="K50" s="1"/>
      <c r="L50" s="1"/>
      <c r="M50" s="1"/>
      <c r="N50" s="1"/>
    </row>
    <row r="51" spans="5:18" hidden="1" x14ac:dyDescent="0.25">
      <c r="E51" s="37"/>
      <c r="K51" s="1"/>
      <c r="L51" s="1"/>
      <c r="M51" s="1"/>
      <c r="N51" s="1"/>
    </row>
    <row r="52" spans="5:18" hidden="1" x14ac:dyDescent="0.25">
      <c r="E52" s="38"/>
      <c r="K52" s="1"/>
    </row>
    <row r="53" spans="5:18" s="1" customFormat="1" hidden="1" x14ac:dyDescent="0.25">
      <c r="E53" s="38"/>
    </row>
    <row r="54" spans="5:18" s="1" customFormat="1" hidden="1" x14ac:dyDescent="0.25">
      <c r="E54" s="38"/>
    </row>
    <row r="55" spans="5:18" ht="15.75" hidden="1" thickTop="1" x14ac:dyDescent="0.25"/>
  </sheetData>
  <sheetProtection algorithmName="SHA-512" hashValue="N5qbu3t/1AoKfFgSqxWTAGGS7i73IZn+O0/LWfqxI18zXi5sDUfa8jVWPq/ZZyTAIpvQdVPW3qq30+x5sd6/YA==" saltValue="OhX030RoIDWT0X9V+XGDYg==" spinCount="100000" sheet="1" objects="1" scenarios="1"/>
  <mergeCells count="32">
    <mergeCell ref="B33:C33"/>
    <mergeCell ref="B2:C2"/>
    <mergeCell ref="B22:C22"/>
    <mergeCell ref="B11:C11"/>
    <mergeCell ref="B34:C34"/>
    <mergeCell ref="B23:C23"/>
    <mergeCell ref="B24:C24"/>
    <mergeCell ref="B12:C12"/>
    <mergeCell ref="B13:C13"/>
    <mergeCell ref="B14:C14"/>
    <mergeCell ref="B15:C15"/>
    <mergeCell ref="B16:C16"/>
    <mergeCell ref="B17:C17"/>
    <mergeCell ref="B18:C18"/>
    <mergeCell ref="B19:C19"/>
    <mergeCell ref="B25:B26"/>
    <mergeCell ref="B27:B28"/>
    <mergeCell ref="B29:B30"/>
    <mergeCell ref="B31:C31"/>
    <mergeCell ref="B32:C32"/>
    <mergeCell ref="A10:D10"/>
    <mergeCell ref="A21:D21"/>
    <mergeCell ref="F4:R4"/>
    <mergeCell ref="T10:V10"/>
    <mergeCell ref="A8:D8"/>
    <mergeCell ref="A5:D5"/>
    <mergeCell ref="T4:V4"/>
    <mergeCell ref="T5:V5"/>
    <mergeCell ref="T7:V7"/>
    <mergeCell ref="T8:V8"/>
    <mergeCell ref="A4:D4"/>
    <mergeCell ref="A7:D7"/>
  </mergeCells>
  <conditionalFormatting sqref="T21:V22">
    <cfRule type="expression" dxfId="6" priority="45">
      <formula>$U$20="N"</formula>
    </cfRule>
  </conditionalFormatting>
  <conditionalFormatting sqref="T29:V33">
    <cfRule type="expression" dxfId="5" priority="5">
      <formula>$U$28="N"</formula>
    </cfRule>
  </conditionalFormatting>
  <conditionalFormatting sqref="T5:V5">
    <cfRule type="expression" dxfId="4" priority="2">
      <formula>$L$6&gt;1.01</formula>
    </cfRule>
  </conditionalFormatting>
  <dataValidations xWindow="346" yWindow="791" count="10">
    <dataValidation type="list" allowBlank="1" showInputMessage="1" showErrorMessage="1" sqref="U28 U20" xr:uid="{00000000-0002-0000-0100-000000000000}">
      <formula1>yesno</formula1>
    </dataValidation>
    <dataValidation type="whole" operator="greaterThanOrEqual" allowBlank="1" showInputMessage="1" showErrorMessage="1" error="Input error" sqref="B14" xr:uid="{00000000-0002-0000-0100-000001000000}">
      <formula1>0</formula1>
    </dataValidation>
    <dataValidation allowBlank="1" showErrorMessage="1" promptTitle="Input Range" prompt="Typically 5% expected" sqref="U14" xr:uid="{00000000-0002-0000-0100-000002000000}"/>
    <dataValidation type="decimal" operator="greaterThanOrEqual" allowBlank="1" showErrorMessage="1" prompt="Typically 2000 $/kWh" sqref="U22" xr:uid="{00000000-0002-0000-0100-000003000000}">
      <formula1>0</formula1>
    </dataValidation>
    <dataValidation type="whole" operator="lessThanOrEqual" allowBlank="1" showInputMessage="1" showErrorMessage="1" errorTitle="Input Error" error="Loan term between 0 and NPV term_x000a_Loan term must be a whole number" sqref="U30" xr:uid="{00000000-0002-0000-0100-000004000000}">
      <formula1>U27</formula1>
    </dataValidation>
    <dataValidation operator="lessThanOrEqual" allowBlank="1" showInputMessage="1" showErrorMessage="1" error="Array Size too big" sqref="L6" xr:uid="{00000000-0002-0000-0100-000005000000}"/>
    <dataValidation type="decimal" operator="greaterThanOrEqual" allowBlank="1" showInputMessage="1" showErrorMessage="1" error="Input error._x000a_Value must be a number greater than 0." sqref="C25:C30 U13 U16 U26 U29 U31 U33 B15:B19 B34 B32" xr:uid="{00000000-0002-0000-0100-000006000000}">
      <formula1>0</formula1>
    </dataValidation>
    <dataValidation type="list" allowBlank="1" showInputMessage="1" showErrorMessage="1" error="Input error." sqref="B31" xr:uid="{00000000-0002-0000-0100-000007000000}">
      <formula1>yesno</formula1>
    </dataValidation>
    <dataValidation type="decimal" operator="greaterThanOrEqual" allowBlank="1" showErrorMessage="1" error="Input error._x000a_Value must be a number greater than 0." prompt="Typically 2000 $/kWh" sqref="U21 U22" xr:uid="{00000000-0002-0000-0100-000008000000}">
      <formula1>0</formula1>
    </dataValidation>
    <dataValidation type="whole" operator="greaterThanOrEqual" allowBlank="1" showInputMessage="1" showErrorMessage="1" errorTitle="Input Error" error="Input error._x000a_Value must be a whole number greater than 0." sqref="U27 U30" xr:uid="{00000000-0002-0000-0100-000009000000}">
      <formula1>0</formula1>
    </dataValidation>
  </dataValidations>
  <pageMargins left="0.7" right="0.7" top="0.75" bottom="0.75" header="0.3" footer="0.3"/>
  <pageSetup paperSize="9" orientation="portrait" horizontalDpi="4294967293"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6" id="{00000000-000E-0000-0000-000007000000}">
            <xm:f>$U$12=Working!$A$7</xm:f>
            <x14:dxf>
              <fill>
                <patternFill patternType="mediumGray"/>
              </fill>
            </x14:dxf>
          </x14:cfRule>
          <xm:sqref>T13:V16</xm:sqref>
        </x14:conditionalFormatting>
        <x14:conditionalFormatting xmlns:xm="http://schemas.microsoft.com/office/excel/2006/main">
          <x14:cfRule type="expression" priority="39" id="{199A24E3-5523-49D1-AA07-7A314A535869}">
            <xm:f>$B$31=Working!$A$1</xm:f>
            <x14:dxf>
              <fill>
                <patternFill patternType="darkDown"/>
              </fill>
            </x14:dxf>
          </x14:cfRule>
          <xm:sqref>B32</xm:sqref>
        </x14:conditionalFormatting>
        <x14:conditionalFormatting xmlns:xm="http://schemas.microsoft.com/office/excel/2006/main">
          <x14:cfRule type="expression" priority="3" id="{83BC3287-093B-49F6-9C8C-F68C74659F2E}">
            <xm:f>Working!$BR$31-Working!$BR$47&gt;0</xm:f>
            <x14:dxf>
              <fill>
                <patternFill>
                  <bgColor rgb="FFFF5050"/>
                </patternFill>
              </fill>
            </x14:dxf>
          </x14:cfRule>
          <xm:sqref>T8:V8</xm:sqref>
        </x14:conditionalFormatting>
        <x14:conditionalFormatting xmlns:xm="http://schemas.microsoft.com/office/excel/2006/main">
          <x14:cfRule type="expression" priority="1" id="{675A96BE-0A2C-4936-BB37-2BC6375CE8CA}">
            <xm:f>$B$33=Working!$R$1</xm:f>
            <x14:dxf>
              <fill>
                <patternFill patternType="darkUp">
                  <fgColor auto="1"/>
                </patternFill>
              </fill>
            </x14:dxf>
          </x14:cfRule>
          <xm:sqref>B34:C34</xm:sqref>
        </x14:conditionalFormatting>
      </x14:conditionalFormattings>
    </ext>
    <ext xmlns:x14="http://schemas.microsoft.com/office/spreadsheetml/2009/9/main" uri="{CCE6A557-97BC-4b89-ADB6-D9C93CAAB3DF}">
      <x14:dataValidations xmlns:xm="http://schemas.microsoft.com/office/excel/2006/main" xWindow="346" yWindow="791" count="4">
        <x14:dataValidation type="list" allowBlank="1" showInputMessage="1" showErrorMessage="1" xr:uid="{00000000-0002-0000-0100-00000A000000}">
          <x14:formula1>
            <xm:f>Working!$A$4:$A$7</xm:f>
          </x14:formula1>
          <xm:sqref>U12</xm:sqref>
        </x14:dataValidation>
        <x14:dataValidation type="list" allowBlank="1" showInputMessage="1" showErrorMessage="1" error="Input error" xr:uid="{00000000-0002-0000-0100-00000B000000}">
          <x14:formula1>
            <xm:f>Working!$M$1:$M$4</xm:f>
          </x14:formula1>
          <xm:sqref>B13</xm:sqref>
        </x14:dataValidation>
        <x14:dataValidation type="list" allowBlank="1" showInputMessage="1" showErrorMessage="1" error="Input error" xr:uid="{00000000-0002-0000-0100-00000C000000}">
          <x14:formula1>
            <xm:f>Working!$B$1:$B$11</xm:f>
          </x14:formula1>
          <xm:sqref>B12:C12</xm:sqref>
        </x14:dataValidation>
        <x14:dataValidation type="list" allowBlank="1" showInputMessage="1" showErrorMessage="1" xr:uid="{00000000-0002-0000-0100-00000D000000}">
          <x14:formula1>
            <xm:f>Working!$R$1:$R$2</xm:f>
          </x14:formula1>
          <xm:sqref>B33:C33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P153"/>
  <sheetViews>
    <sheetView topLeftCell="A32" zoomScale="70" zoomScaleNormal="70" workbookViewId="0">
      <selection activeCell="AB64" sqref="AB64"/>
    </sheetView>
  </sheetViews>
  <sheetFormatPr defaultColWidth="9.140625" defaultRowHeight="15" x14ac:dyDescent="0.25"/>
  <cols>
    <col min="1" max="1" width="25.7109375" style="3" bestFit="1" customWidth="1"/>
    <col min="2" max="2" width="11.7109375" style="3" bestFit="1" customWidth="1"/>
    <col min="3" max="3" width="13.85546875" style="3" customWidth="1"/>
    <col min="4" max="4" width="12.85546875" style="3" bestFit="1" customWidth="1"/>
    <col min="5" max="5" width="17.28515625" style="3" customWidth="1"/>
    <col min="6" max="6" width="11.7109375" style="3" customWidth="1"/>
    <col min="7" max="7" width="12.5703125" style="3" customWidth="1"/>
    <col min="8" max="8" width="11.7109375" style="3" customWidth="1"/>
    <col min="9" max="9" width="9.140625" style="3" customWidth="1"/>
    <col min="10" max="10" width="8.42578125" style="3" customWidth="1"/>
    <col min="11" max="11" width="12.42578125" style="3" customWidth="1"/>
    <col min="12" max="13" width="4.5703125" style="3" bestFit="1" customWidth="1"/>
    <col min="14" max="16" width="5.5703125" style="3" customWidth="1"/>
    <col min="17" max="26" width="4.5703125" style="3" bestFit="1" customWidth="1"/>
    <col min="27" max="27" width="6.140625" style="3" customWidth="1"/>
    <col min="28" max="28" width="10.5703125" style="3" customWidth="1"/>
    <col min="29" max="29" width="11.5703125" style="3" customWidth="1"/>
    <col min="30" max="30" width="11.28515625" style="3" bestFit="1" customWidth="1"/>
    <col min="31" max="31" width="9.140625" style="3"/>
    <col min="32" max="32" width="21.7109375" style="3" customWidth="1"/>
    <col min="33" max="33" width="11.85546875" style="3" bestFit="1" customWidth="1"/>
    <col min="34" max="34" width="12.7109375" style="3" bestFit="1" customWidth="1"/>
    <col min="35" max="35" width="11.85546875" style="3" bestFit="1" customWidth="1"/>
    <col min="36" max="36" width="14.85546875" style="3" customWidth="1"/>
    <col min="37" max="38" width="13.5703125" style="3" customWidth="1"/>
    <col min="39" max="39" width="10.140625" style="3" bestFit="1" customWidth="1"/>
    <col min="40" max="40" width="5.28515625" style="3" customWidth="1"/>
    <col min="41" max="41" width="3" style="3" bestFit="1" customWidth="1"/>
    <col min="42" max="43" width="3.5703125" style="3" bestFit="1" customWidth="1"/>
    <col min="44" max="49" width="4.5703125" style="3" bestFit="1" customWidth="1"/>
    <col min="50" max="50" width="3.5703125" style="3" bestFit="1" customWidth="1"/>
    <col min="51" max="53" width="4" style="3" bestFit="1" customWidth="1"/>
    <col min="54" max="57" width="3" style="3" bestFit="1" customWidth="1"/>
    <col min="58" max="58" width="4.5703125" style="3" bestFit="1" customWidth="1"/>
    <col min="59" max="59" width="15.5703125" style="3" customWidth="1"/>
    <col min="60" max="60" width="10.85546875" style="3" bestFit="1" customWidth="1"/>
    <col min="61" max="61" width="11.28515625" style="3" bestFit="1" customWidth="1"/>
    <col min="62" max="62" width="10.7109375" style="3" bestFit="1" customWidth="1"/>
    <col min="63" max="63" width="18.28515625" style="3" customWidth="1"/>
    <col min="64" max="64" width="11.85546875" style="3" bestFit="1" customWidth="1"/>
    <col min="65" max="65" width="12.7109375" style="3" bestFit="1" customWidth="1"/>
    <col min="66" max="66" width="11.85546875" style="3" bestFit="1" customWidth="1"/>
    <col min="67" max="67" width="10.7109375" style="3" bestFit="1" customWidth="1"/>
    <col min="68" max="68" width="13.28515625" style="3" customWidth="1"/>
    <col min="69" max="69" width="10.42578125" style="3" bestFit="1" customWidth="1"/>
    <col min="70" max="70" width="8.7109375" style="3" bestFit="1" customWidth="1"/>
    <col min="71" max="71" width="3" style="3" customWidth="1"/>
    <col min="72" max="72" width="5.140625" style="3" bestFit="1" customWidth="1"/>
    <col min="73" max="73" width="7.42578125" style="3" customWidth="1"/>
    <col min="74" max="74" width="7" style="3" customWidth="1"/>
    <col min="75" max="75" width="7.85546875" style="3" customWidth="1"/>
    <col min="76" max="76" width="8.140625" style="3" customWidth="1"/>
    <col min="77" max="80" width="4.5703125" style="3" customWidth="1"/>
    <col min="81" max="86" width="6.140625" style="3" bestFit="1" customWidth="1"/>
    <col min="87" max="88" width="5.140625" style="3" bestFit="1" customWidth="1"/>
    <col min="89" max="89" width="4.5703125" style="3" customWidth="1"/>
    <col min="90" max="90" width="13.5703125" style="3" customWidth="1"/>
    <col min="91" max="91" width="11.42578125" style="3" bestFit="1" customWidth="1"/>
    <col min="92" max="92" width="15.5703125" style="3" customWidth="1"/>
    <col min="93" max="93" width="9.140625" style="3"/>
    <col min="94" max="94" width="12.85546875" style="3" customWidth="1"/>
    <col min="95" max="16384" width="9.140625" style="3"/>
  </cols>
  <sheetData>
    <row r="1" spans="1:92" x14ac:dyDescent="0.25">
      <c r="A1" s="3" t="s">
        <v>75</v>
      </c>
      <c r="B1" s="3" t="s">
        <v>267</v>
      </c>
      <c r="C1" s="3">
        <v>1</v>
      </c>
      <c r="D1" s="3">
        <f>E1/$E$1</f>
        <v>1</v>
      </c>
      <c r="E1" s="3">
        <v>11344176.127180561</v>
      </c>
      <c r="F1" s="3" t="s">
        <v>91</v>
      </c>
      <c r="H1" s="118">
        <f>'Summary Sheet'!B14</f>
        <v>1</v>
      </c>
      <c r="J1" s="3">
        <v>0.35124558049243826</v>
      </c>
      <c r="K1" s="3" t="s">
        <v>172</v>
      </c>
      <c r="M1" s="3" t="s">
        <v>191</v>
      </c>
      <c r="R1" s="3" t="s">
        <v>250</v>
      </c>
      <c r="AF1" s="4" t="s">
        <v>32</v>
      </c>
      <c r="BK1" s="4" t="s">
        <v>84</v>
      </c>
    </row>
    <row r="2" spans="1:92" ht="30" x14ac:dyDescent="0.25">
      <c r="A2" s="3" t="s">
        <v>76</v>
      </c>
      <c r="B2" s="3" t="s">
        <v>268</v>
      </c>
      <c r="C2" s="3">
        <v>8</v>
      </c>
      <c r="D2" s="3">
        <f>E2/$E$1</f>
        <v>7.2799447993518553</v>
      </c>
      <c r="E2" s="3">
        <v>82584975.999999598</v>
      </c>
      <c r="F2" s="3" t="s">
        <v>116</v>
      </c>
      <c r="J2" s="3">
        <v>7.9120255461300318E-2</v>
      </c>
      <c r="K2" s="3" t="s">
        <v>173</v>
      </c>
      <c r="M2" s="3" t="s">
        <v>192</v>
      </c>
      <c r="R2" s="3" t="s">
        <v>251</v>
      </c>
      <c r="AF2" s="5"/>
      <c r="AG2" s="6" t="s">
        <v>33</v>
      </c>
      <c r="AH2" s="7" t="s">
        <v>34</v>
      </c>
      <c r="AI2" s="7" t="s">
        <v>43</v>
      </c>
      <c r="AJ2" s="7" t="s">
        <v>35</v>
      </c>
      <c r="AK2" s="7" t="s">
        <v>36</v>
      </c>
      <c r="BK2" s="5"/>
      <c r="BL2" s="6" t="s">
        <v>33</v>
      </c>
      <c r="BM2" s="7" t="s">
        <v>34</v>
      </c>
      <c r="BN2" s="7" t="s">
        <v>43</v>
      </c>
      <c r="BO2" s="7" t="s">
        <v>35</v>
      </c>
      <c r="BP2" s="7" t="s">
        <v>36</v>
      </c>
    </row>
    <row r="3" spans="1:92" x14ac:dyDescent="0.25">
      <c r="B3" s="3" t="s">
        <v>269</v>
      </c>
      <c r="C3" s="3">
        <v>17</v>
      </c>
      <c r="D3" s="3">
        <f>E3/$E$1</f>
        <v>13.322815332022488</v>
      </c>
      <c r="E3" s="3">
        <v>151136363.63636467</v>
      </c>
      <c r="J3" s="3">
        <v>0.56963416404626133</v>
      </c>
      <c r="K3" s="3" t="s">
        <v>174</v>
      </c>
      <c r="M3" s="3" t="s">
        <v>193</v>
      </c>
      <c r="AF3" s="8" t="s">
        <v>42</v>
      </c>
      <c r="AG3" s="8">
        <f>Working!AB27</f>
        <v>5122462.374870969</v>
      </c>
      <c r="AH3" s="8">
        <f>Working!AC27</f>
        <v>6221713.7523095515</v>
      </c>
      <c r="AI3" s="8">
        <f>SUM(AG3:AH3)</f>
        <v>11344176.12718052</v>
      </c>
      <c r="AJ3" s="9">
        <f>AG3*'Summary Sheet'!$B$23</f>
        <v>298845.63015414489</v>
      </c>
      <c r="AK3" s="9">
        <f>AH3*'Summary Sheet'!$B$24</f>
        <v>235703.05873931298</v>
      </c>
      <c r="BK3" s="8" t="s">
        <v>42</v>
      </c>
      <c r="BL3" s="8">
        <f>AG3</f>
        <v>5122462.374870969</v>
      </c>
      <c r="BM3" s="8">
        <f>AH3</f>
        <v>6221713.7523095515</v>
      </c>
      <c r="BN3" s="8">
        <f>SUM(BL3:BM3)</f>
        <v>11344176.12718052</v>
      </c>
      <c r="BO3" s="9">
        <f>BL3*'Summary Sheet'!$B$23</f>
        <v>298845.63015414489</v>
      </c>
      <c r="BP3" s="9">
        <f>BM3*'Summary Sheet'!$B$24</f>
        <v>235703.05873931298</v>
      </c>
    </row>
    <row r="4" spans="1:92" x14ac:dyDescent="0.25">
      <c r="A4" s="3" t="s">
        <v>111</v>
      </c>
      <c r="B4" s="3" t="s">
        <v>270</v>
      </c>
      <c r="M4" s="3" t="s">
        <v>194</v>
      </c>
      <c r="AF4" s="8" t="s">
        <v>40</v>
      </c>
      <c r="AG4" s="8">
        <f>Working!AB43</f>
        <v>8095614.2249142863</v>
      </c>
      <c r="AH4" s="8">
        <f>Working!AC43</f>
        <v>3265727.9046857152</v>
      </c>
      <c r="AI4" s="8">
        <f>SUM(AG4:AH4)</f>
        <v>11361342.129600001</v>
      </c>
      <c r="AJ4" s="9">
        <f>AG4*'Summary Sheet'!$B$23</f>
        <v>472299.99119130877</v>
      </c>
      <c r="AK4" s="9">
        <f>AH4*'Summary Sheet'!$B$24</f>
        <v>123718.65482545159</v>
      </c>
      <c r="BK4" s="8" t="s">
        <v>40</v>
      </c>
      <c r="BL4" s="8">
        <f>AG4</f>
        <v>8095614.2249142863</v>
      </c>
      <c r="BM4" s="8">
        <f>AH4</f>
        <v>3265727.9046857152</v>
      </c>
      <c r="BN4" s="8">
        <f>SUM(BL4:BM4)</f>
        <v>11361342.129600001</v>
      </c>
      <c r="BO4" s="9">
        <f>BL4*'Summary Sheet'!$B$23</f>
        <v>472299.99119130877</v>
      </c>
      <c r="BP4" s="9">
        <f>BM4*'Summary Sheet'!$B$24</f>
        <v>123718.65482545159</v>
      </c>
    </row>
    <row r="5" spans="1:92" x14ac:dyDescent="0.25">
      <c r="B5" s="3" t="s">
        <v>271</v>
      </c>
      <c r="AF5" s="8"/>
      <c r="AG5" s="8"/>
      <c r="AH5" s="8"/>
      <c r="AI5" s="8"/>
      <c r="AJ5" s="9"/>
      <c r="AK5" s="9"/>
      <c r="BK5" s="8"/>
      <c r="BL5" s="8"/>
      <c r="BM5" s="8"/>
      <c r="BN5" s="8"/>
      <c r="BO5" s="9"/>
      <c r="BP5" s="9"/>
    </row>
    <row r="6" spans="1:92" x14ac:dyDescent="0.25">
      <c r="B6" s="3" t="s">
        <v>272</v>
      </c>
      <c r="AF6" s="8"/>
      <c r="AG6" s="8"/>
      <c r="AH6" s="8"/>
      <c r="AI6" s="8"/>
      <c r="AJ6" s="9"/>
      <c r="AK6" s="9"/>
      <c r="BK6" s="8"/>
      <c r="BL6" s="8"/>
      <c r="BM6" s="8"/>
      <c r="BN6" s="8"/>
      <c r="BO6" s="9"/>
      <c r="BP6" s="9"/>
    </row>
    <row r="7" spans="1:92" x14ac:dyDescent="0.25">
      <c r="A7" s="3" t="s">
        <v>112</v>
      </c>
      <c r="B7" s="3" t="s">
        <v>273</v>
      </c>
      <c r="AF7" s="8" t="s">
        <v>41</v>
      </c>
      <c r="AG7" s="8">
        <f>Working!BG43</f>
        <v>2660238.7773175733</v>
      </c>
      <c r="AH7" s="8">
        <f>Working!BH43</f>
        <v>1091577.7256470297</v>
      </c>
      <c r="AI7" s="8">
        <f>SUM(AG7:AH7)</f>
        <v>3751816.5029646028</v>
      </c>
      <c r="AJ7" s="9">
        <f>AG7*'Summary Sheet'!$B$23</f>
        <v>155198.94058528592</v>
      </c>
      <c r="AK7" s="9">
        <f>AH7*'Summary Sheet'!$B$24</f>
        <v>41353.270020048738</v>
      </c>
      <c r="BK7" s="8" t="s">
        <v>41</v>
      </c>
      <c r="BL7" s="8">
        <f>AG7+CL59</f>
        <v>2660238.7773175733</v>
      </c>
      <c r="BM7" s="8">
        <f>AH7+CM59</f>
        <v>1091577.7256470297</v>
      </c>
      <c r="BN7" s="8">
        <f>SUM(BL7:BM7)</f>
        <v>3751816.5029646028</v>
      </c>
      <c r="BO7" s="9">
        <f>BL7*'Summary Sheet'!$B$23</f>
        <v>155198.94058528592</v>
      </c>
      <c r="BP7" s="9">
        <f>BM7*'Summary Sheet'!$B$24</f>
        <v>41353.270020048738</v>
      </c>
    </row>
    <row r="8" spans="1:92" x14ac:dyDescent="0.25">
      <c r="B8" s="3" t="s">
        <v>274</v>
      </c>
      <c r="AF8" s="8" t="s">
        <v>90</v>
      </c>
      <c r="AG8" s="8">
        <f>Working!BG59</f>
        <v>5435375.447596713</v>
      </c>
      <c r="AH8" s="8">
        <f>Working!BH59</f>
        <v>2174150.1790386848</v>
      </c>
      <c r="AI8" s="8">
        <f>SUM(AG8:AH8)</f>
        <v>7609525.6266353978</v>
      </c>
      <c r="AJ8" s="9">
        <f>BG107</f>
        <v>364205.19603026181</v>
      </c>
      <c r="AK8" s="9">
        <f>BH107</f>
        <v>145682.07841210469</v>
      </c>
      <c r="BK8" s="8" t="s">
        <v>37</v>
      </c>
      <c r="BL8" s="8">
        <f>CL107</f>
        <v>0</v>
      </c>
      <c r="BM8" s="8">
        <f>CM107</f>
        <v>0</v>
      </c>
      <c r="BN8" s="8">
        <f>SUM(BL8:BM8)</f>
        <v>0</v>
      </c>
      <c r="BO8" s="9">
        <f>CL123</f>
        <v>0</v>
      </c>
      <c r="BP8" s="9">
        <f>CM123</f>
        <v>0</v>
      </c>
    </row>
    <row r="9" spans="1:92" x14ac:dyDescent="0.25">
      <c r="B9" s="3" t="s">
        <v>275</v>
      </c>
      <c r="C9" s="3">
        <f>IF('Summary Sheet'!$U$20="N",Working!AH16,Working!BM80)</f>
        <v>1533.9272605976807</v>
      </c>
      <c r="D9" s="3">
        <f>IF('Summary Sheet'!$U$20="N",Working!AI16,Working!BN80)</f>
        <v>1501.7538230565597</v>
      </c>
      <c r="E9" s="3">
        <f>IF('Summary Sheet'!$U$20="N",Working!AJ16,Working!BO80)</f>
        <v>1499.1285484004959</v>
      </c>
      <c r="F9" s="3">
        <f>IF('Summary Sheet'!$U$20="N",Working!AK16,Working!BP80)</f>
        <v>1532.8758944431861</v>
      </c>
      <c r="G9" s="3">
        <f>IF('Summary Sheet'!$U$20="N",Working!AL16,Working!BQ80)</f>
        <v>1604.1814563214552</v>
      </c>
      <c r="H9" s="3">
        <f>IF('Summary Sheet'!$U$20="N",Working!AM16,Working!BR80)</f>
        <v>1519.0682995975619</v>
      </c>
      <c r="I9" s="3">
        <f>IF('Summary Sheet'!$U$20="N",Working!AN16,Working!BS80)</f>
        <v>763.96965708451557</v>
      </c>
      <c r="J9" s="3">
        <f>IF('Summary Sheet'!$U$20="N",Working!AO16,Working!BT80)</f>
        <v>420.88830569794771</v>
      </c>
      <c r="K9" s="3">
        <f>IF('Summary Sheet'!$U$20="N",Working!AP16,Working!BU80)</f>
        <v>-551.06816899678051</v>
      </c>
      <c r="L9" s="3">
        <f>IF('Summary Sheet'!$U$20="N",Working!AQ16,Working!BV80)</f>
        <v>-1677.5864233642596</v>
      </c>
      <c r="M9" s="3">
        <f>IF('Summary Sheet'!$U$20="N",Working!AR16,Working!BW80)</f>
        <v>-2792.6819706639644</v>
      </c>
      <c r="N9" s="3">
        <f>IF('Summary Sheet'!$U$20="N",Working!AS16,Working!BX80)</f>
        <v>-3709.5690590401682</v>
      </c>
      <c r="O9" s="3">
        <f>IF('Summary Sheet'!$U$20="N",Working!AT16,Working!BY80)</f>
        <v>-4323.8267380124616</v>
      </c>
      <c r="P9" s="3">
        <f>IF('Summary Sheet'!$U$20="N",Working!AU16,Working!BZ80)</f>
        <v>-4480.4455122740483</v>
      </c>
      <c r="Q9" s="3">
        <f>IF('Summary Sheet'!$U$20="N",Working!AV16,Working!CA80)</f>
        <v>-4138.8646833989596</v>
      </c>
      <c r="R9" s="3">
        <f>IF('Summary Sheet'!$U$20="N",Working!AW16,Working!CB80)</f>
        <v>-3382.0501517491593</v>
      </c>
      <c r="S9" s="3">
        <f>IF('Summary Sheet'!$U$20="N",Working!AX16,Working!CC80)</f>
        <v>-2341.9385239308799</v>
      </c>
      <c r="T9" s="3">
        <f>IF('Summary Sheet'!$U$20="N",Working!AY16,Working!CD80)</f>
        <v>-1139.972612645196</v>
      </c>
      <c r="U9" s="3">
        <f>IF('Summary Sheet'!$U$20="N",Working!AZ16,Working!CE80)</f>
        <v>71.384496167351131</v>
      </c>
      <c r="V9" s="3">
        <f>IF('Summary Sheet'!$U$20="N",Working!BA16,Working!CF80)</f>
        <v>1613.5621460434627</v>
      </c>
      <c r="W9" s="3">
        <f>IF('Summary Sheet'!$U$20="N",Working!BB16,Working!CG80)</f>
        <v>1810.3384821345685</v>
      </c>
      <c r="X9" s="3">
        <f>IF('Summary Sheet'!$U$20="N",Working!BC16,Working!CH80)</f>
        <v>1706.1899056398679</v>
      </c>
      <c r="Y9" s="3">
        <f>IF('Summary Sheet'!$U$20="N",Working!BD16,Working!CI80)</f>
        <v>1589.1033245289054</v>
      </c>
      <c r="Z9" s="3">
        <f>IF('Summary Sheet'!$U$20="N",Working!BE16,Working!CJ80)</f>
        <v>1561.5955062108035</v>
      </c>
      <c r="AF9" s="10" t="s">
        <v>46</v>
      </c>
      <c r="AG9" s="10"/>
      <c r="AH9" s="10"/>
      <c r="AI9" s="10"/>
      <c r="AJ9" s="11">
        <f>SUM(AJ7:AJ8)</f>
        <v>519404.1366155477</v>
      </c>
      <c r="AK9" s="11">
        <f>SUM(AK7:AK8)</f>
        <v>187035.34843215343</v>
      </c>
      <c r="AL9" s="70"/>
      <c r="BK9" s="10" t="s">
        <v>46</v>
      </c>
      <c r="BL9" s="10"/>
      <c r="BM9" s="10"/>
      <c r="BN9" s="10"/>
      <c r="BO9" s="11">
        <f>SUM(BO7:BO8)</f>
        <v>155198.94058528592</v>
      </c>
      <c r="BP9" s="11">
        <f>SUM(BP7:BP8)</f>
        <v>41353.270020048738</v>
      </c>
    </row>
    <row r="10" spans="1:92" x14ac:dyDescent="0.25">
      <c r="B10" s="3" t="s">
        <v>276</v>
      </c>
      <c r="C10" s="3">
        <f>IF('Summary Sheet'!$U$20="N",Working!AH22,Working!BM86)</f>
        <v>1475.1362435692504</v>
      </c>
      <c r="D10" s="3">
        <f>IF('Summary Sheet'!$U$20="N",Working!AI22,Working!BN86)</f>
        <v>1461.5336739443576</v>
      </c>
      <c r="E10" s="3">
        <f>IF('Summary Sheet'!$U$20="N",Working!AJ22,Working!BO86)</f>
        <v>1418.7643938746685</v>
      </c>
      <c r="F10" s="3">
        <f>IF('Summary Sheet'!$U$20="N",Working!AK22,Working!BP86)</f>
        <v>1418.3844779379635</v>
      </c>
      <c r="G10" s="3">
        <f>IF('Summary Sheet'!$U$20="N",Working!AL22,Working!BQ86)</f>
        <v>1442.7804916251357</v>
      </c>
      <c r="H10" s="3">
        <f>IF('Summary Sheet'!$U$20="N",Working!AM22,Working!BR86)</f>
        <v>1559.4497295094952</v>
      </c>
      <c r="I10" s="3">
        <f>IF('Summary Sheet'!$U$20="N",Working!AN22,Working!BS86)</f>
        <v>1675.5758333967531</v>
      </c>
      <c r="J10" s="3">
        <f>IF('Summary Sheet'!$U$20="N",Working!AO22,Working!BT86)</f>
        <v>962.20979964041601</v>
      </c>
      <c r="K10" s="3">
        <f>IF('Summary Sheet'!$U$20="N",Working!AP22,Working!BU86)</f>
        <v>535.10793134755443</v>
      </c>
      <c r="L10" s="3">
        <f>IF('Summary Sheet'!$U$20="N",Working!AQ22,Working!BV86)</f>
        <v>-726.07329112549337</v>
      </c>
      <c r="M10" s="3">
        <f>IF('Summary Sheet'!$U$20="N",Working!AR22,Working!BW86)</f>
        <v>-1752.7522263466103</v>
      </c>
      <c r="N10" s="3">
        <f>IF('Summary Sheet'!$U$20="N",Working!AS22,Working!BX86)</f>
        <v>-2444.1674341651988</v>
      </c>
      <c r="O10" s="3">
        <f>IF('Summary Sheet'!$U$20="N",Working!AT22,Working!BY86)</f>
        <v>-2730.3426108541807</v>
      </c>
      <c r="P10" s="3">
        <f>IF('Summary Sheet'!$U$20="N",Working!AU22,Working!BZ86)</f>
        <v>-2722.9501574835613</v>
      </c>
      <c r="Q10" s="3">
        <f>IF('Summary Sheet'!$U$20="N",Working!AV22,Working!CA86)</f>
        <v>-2360.697300435354</v>
      </c>
      <c r="R10" s="3">
        <f>IF('Summary Sheet'!$U$20="N",Working!AW22,Working!CB86)</f>
        <v>-1736.6698016839591</v>
      </c>
      <c r="S10" s="3">
        <f>IF('Summary Sheet'!$U$20="N",Working!AX22,Working!CC86)</f>
        <v>-770.81208053512989</v>
      </c>
      <c r="T10" s="3">
        <f>IF('Summary Sheet'!$U$20="N",Working!AY22,Working!CD86)</f>
        <v>719.70020562504999</v>
      </c>
      <c r="U10" s="3">
        <f>IF('Summary Sheet'!$U$20="N",Working!AZ22,Working!CE86)</f>
        <v>2232.1475721147167</v>
      </c>
      <c r="V10" s="3">
        <f>IF('Summary Sheet'!$U$20="N",Working!BA22,Working!CF86)</f>
        <v>2300.1741504938718</v>
      </c>
      <c r="W10" s="3">
        <f>IF('Summary Sheet'!$U$20="N",Working!BB22,Working!CG86)</f>
        <v>2005.8531793098759</v>
      </c>
      <c r="X10" s="3">
        <f>IF('Summary Sheet'!$U$20="N",Working!BC22,Working!CH86)</f>
        <v>1680.5647273099441</v>
      </c>
      <c r="Y10" s="3">
        <f>IF('Summary Sheet'!$U$20="N",Working!BD22,Working!CI86)</f>
        <v>1588.2605529679106</v>
      </c>
      <c r="Z10" s="3">
        <f>IF('Summary Sheet'!$U$20="N",Working!BE22,Working!CJ86)</f>
        <v>1500.5652439318847</v>
      </c>
      <c r="AI10" s="31"/>
    </row>
    <row r="11" spans="1:92" x14ac:dyDescent="0.25">
      <c r="B11" s="3" t="s">
        <v>277</v>
      </c>
    </row>
    <row r="13" spans="1:92" x14ac:dyDescent="0.25">
      <c r="A13" s="12" t="s">
        <v>20</v>
      </c>
      <c r="B13" s="13"/>
      <c r="C13" s="14"/>
      <c r="D13" s="14"/>
      <c r="E13" s="14"/>
      <c r="F13" s="14"/>
      <c r="G13" s="14"/>
      <c r="H13" s="14"/>
      <c r="I13" s="14"/>
      <c r="J13" s="14"/>
      <c r="K13" s="14"/>
      <c r="L13" s="14"/>
      <c r="M13" s="14"/>
      <c r="N13" s="14"/>
      <c r="O13" s="14"/>
      <c r="P13" s="14"/>
      <c r="Q13" s="14"/>
      <c r="R13" s="14"/>
      <c r="S13" s="14"/>
      <c r="T13" s="14"/>
      <c r="U13" s="14"/>
      <c r="V13" s="14"/>
      <c r="W13" s="14"/>
      <c r="X13" s="14"/>
      <c r="Y13" s="14"/>
      <c r="Z13" s="15"/>
      <c r="AA13" s="15" t="s">
        <v>15</v>
      </c>
      <c r="AB13" s="15" t="s">
        <v>33</v>
      </c>
      <c r="AC13" s="15" t="s">
        <v>34</v>
      </c>
      <c r="AD13" s="15" t="s">
        <v>22</v>
      </c>
      <c r="AF13" s="12" t="s">
        <v>30</v>
      </c>
      <c r="AG13" s="13"/>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5"/>
      <c r="BF13" s="15" t="s">
        <v>15</v>
      </c>
      <c r="BG13" s="15" t="s">
        <v>13</v>
      </c>
      <c r="BH13" s="15" t="s">
        <v>14</v>
      </c>
      <c r="BI13" s="15" t="s">
        <v>22</v>
      </c>
      <c r="BK13" s="12" t="s">
        <v>50</v>
      </c>
      <c r="BL13" s="13"/>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5"/>
      <c r="CK13" s="15" t="s">
        <v>15</v>
      </c>
      <c r="CL13" s="15" t="s">
        <v>13</v>
      </c>
      <c r="CM13" s="15" t="s">
        <v>14</v>
      </c>
      <c r="CN13" s="15" t="s">
        <v>22</v>
      </c>
    </row>
    <row r="14" spans="1:92" x14ac:dyDescent="0.25">
      <c r="A14" s="16" t="s">
        <v>12</v>
      </c>
      <c r="C14" s="16">
        <v>0</v>
      </c>
      <c r="D14" s="16">
        <v>1</v>
      </c>
      <c r="E14" s="16">
        <v>2</v>
      </c>
      <c r="F14" s="16">
        <v>3</v>
      </c>
      <c r="G14" s="16">
        <v>4</v>
      </c>
      <c r="H14" s="16">
        <v>5</v>
      </c>
      <c r="I14" s="16">
        <v>6</v>
      </c>
      <c r="J14" s="16">
        <v>7</v>
      </c>
      <c r="K14" s="16">
        <v>8</v>
      </c>
      <c r="L14" s="16">
        <v>9</v>
      </c>
      <c r="M14" s="16">
        <v>10</v>
      </c>
      <c r="N14" s="16">
        <v>11</v>
      </c>
      <c r="O14" s="16">
        <v>12</v>
      </c>
      <c r="P14" s="16">
        <v>13</v>
      </c>
      <c r="Q14" s="16">
        <v>14</v>
      </c>
      <c r="R14" s="16">
        <v>15</v>
      </c>
      <c r="S14" s="16">
        <v>16</v>
      </c>
      <c r="T14" s="16">
        <v>17</v>
      </c>
      <c r="U14" s="16">
        <v>18</v>
      </c>
      <c r="V14" s="16">
        <v>19</v>
      </c>
      <c r="W14" s="16">
        <v>20</v>
      </c>
      <c r="X14" s="16">
        <v>21</v>
      </c>
      <c r="Y14" s="16">
        <v>22</v>
      </c>
      <c r="Z14" s="16">
        <v>23</v>
      </c>
      <c r="AA14" s="16"/>
      <c r="AB14" s="16"/>
      <c r="AC14" s="16"/>
      <c r="AD14" s="16"/>
      <c r="AF14" s="16"/>
      <c r="AG14" s="3" t="s">
        <v>12</v>
      </c>
      <c r="AH14" s="16">
        <v>0</v>
      </c>
      <c r="AI14" s="16">
        <v>1</v>
      </c>
      <c r="AJ14" s="16">
        <v>2</v>
      </c>
      <c r="AK14" s="16">
        <v>3</v>
      </c>
      <c r="AL14" s="16">
        <v>4</v>
      </c>
      <c r="AM14" s="16">
        <v>5</v>
      </c>
      <c r="AN14" s="16">
        <v>6</v>
      </c>
      <c r="AO14" s="16">
        <v>7</v>
      </c>
      <c r="AP14" s="16">
        <v>8</v>
      </c>
      <c r="AQ14" s="16">
        <v>9</v>
      </c>
      <c r="AR14" s="16">
        <v>10</v>
      </c>
      <c r="AS14" s="16">
        <v>11</v>
      </c>
      <c r="AT14" s="16">
        <v>12</v>
      </c>
      <c r="AU14" s="16">
        <v>13</v>
      </c>
      <c r="AV14" s="16">
        <v>14</v>
      </c>
      <c r="AW14" s="16">
        <v>15</v>
      </c>
      <c r="AX14" s="16">
        <v>16</v>
      </c>
      <c r="AY14" s="16">
        <v>17</v>
      </c>
      <c r="AZ14" s="16">
        <v>18</v>
      </c>
      <c r="BA14" s="16">
        <v>19</v>
      </c>
      <c r="BB14" s="16">
        <v>20</v>
      </c>
      <c r="BC14" s="16">
        <v>21</v>
      </c>
      <c r="BD14" s="16">
        <v>22</v>
      </c>
      <c r="BE14" s="16">
        <v>23</v>
      </c>
      <c r="BF14" s="16"/>
      <c r="BG14" s="16"/>
      <c r="BH14" s="16"/>
      <c r="BI14" s="16"/>
      <c r="BK14" s="16"/>
      <c r="BL14" s="3" t="s">
        <v>12</v>
      </c>
      <c r="BM14" s="16">
        <v>0</v>
      </c>
      <c r="BN14" s="16">
        <v>1</v>
      </c>
      <c r="BO14" s="16">
        <v>2</v>
      </c>
      <c r="BP14" s="16">
        <v>3</v>
      </c>
      <c r="BQ14" s="16">
        <v>4</v>
      </c>
      <c r="BR14" s="16">
        <v>5</v>
      </c>
      <c r="BS14" s="16">
        <v>6</v>
      </c>
      <c r="BT14" s="16">
        <v>7</v>
      </c>
      <c r="BU14" s="16">
        <v>8</v>
      </c>
      <c r="BV14" s="16">
        <v>9</v>
      </c>
      <c r="BW14" s="16">
        <v>10</v>
      </c>
      <c r="BX14" s="16">
        <v>11</v>
      </c>
      <c r="BY14" s="16">
        <v>12</v>
      </c>
      <c r="BZ14" s="16">
        <v>13</v>
      </c>
      <c r="CA14" s="16">
        <v>14</v>
      </c>
      <c r="CB14" s="16">
        <v>15</v>
      </c>
      <c r="CC14" s="16">
        <v>16</v>
      </c>
      <c r="CD14" s="16">
        <v>17</v>
      </c>
      <c r="CE14" s="16">
        <v>18</v>
      </c>
      <c r="CF14" s="16">
        <v>19</v>
      </c>
      <c r="CG14" s="16">
        <v>20</v>
      </c>
      <c r="CH14" s="16">
        <v>21</v>
      </c>
      <c r="CI14" s="16">
        <v>22</v>
      </c>
      <c r="CJ14" s="16">
        <v>23</v>
      </c>
      <c r="CK14" s="16"/>
      <c r="CL14" s="16"/>
      <c r="CM14" s="16"/>
      <c r="CN14" s="16"/>
    </row>
    <row r="15" spans="1:92" x14ac:dyDescent="0.25">
      <c r="A15" s="17" t="s">
        <v>0</v>
      </c>
      <c r="B15" s="18">
        <v>1</v>
      </c>
      <c r="C15" s="18">
        <f>$H$1*H80</f>
        <v>1520.66656951711</v>
      </c>
      <c r="D15" s="18">
        <f t="shared" ref="D15:Z15" si="0">$H$1*I80</f>
        <v>1492.0119648072291</v>
      </c>
      <c r="E15" s="18">
        <f t="shared" si="0"/>
        <v>1464.7691573745192</v>
      </c>
      <c r="F15" s="18">
        <f t="shared" si="0"/>
        <v>1484.2585772493817</v>
      </c>
      <c r="G15" s="18">
        <f t="shared" si="0"/>
        <v>1583.6374844365807</v>
      </c>
      <c r="H15" s="18">
        <f t="shared" si="0"/>
        <v>973.9307392882539</v>
      </c>
      <c r="I15" s="18">
        <f t="shared" si="0"/>
        <v>787.09931407768215</v>
      </c>
      <c r="J15" s="18">
        <f t="shared" si="0"/>
        <v>849.78795990966466</v>
      </c>
      <c r="K15" s="18">
        <f t="shared" si="0"/>
        <v>968.98939600012955</v>
      </c>
      <c r="L15" s="18">
        <f t="shared" si="0"/>
        <v>1046.3967811291163</v>
      </c>
      <c r="M15" s="18">
        <f t="shared" si="0"/>
        <v>1092.9820234439849</v>
      </c>
      <c r="N15" s="18">
        <f t="shared" si="0"/>
        <v>1118.9018177130793</v>
      </c>
      <c r="O15" s="18">
        <f t="shared" si="0"/>
        <v>1134.8954341766353</v>
      </c>
      <c r="P15" s="18">
        <f t="shared" si="0"/>
        <v>1148.4018200056155</v>
      </c>
      <c r="Q15" s="18">
        <f t="shared" si="0"/>
        <v>1138.9023871926772</v>
      </c>
      <c r="R15" s="18">
        <f t="shared" si="0"/>
        <v>1108.9700387985404</v>
      </c>
      <c r="S15" s="18">
        <f t="shared" si="0"/>
        <v>1056.0029968591141</v>
      </c>
      <c r="T15" s="18">
        <f t="shared" si="0"/>
        <v>977.9706632485495</v>
      </c>
      <c r="U15" s="18">
        <f t="shared" si="0"/>
        <v>920.38104401473845</v>
      </c>
      <c r="V15" s="18">
        <f t="shared" si="0"/>
        <v>1160.974103656604</v>
      </c>
      <c r="W15" s="18">
        <f t="shared" si="0"/>
        <v>1675.8327259215189</v>
      </c>
      <c r="X15" s="18">
        <f t="shared" si="0"/>
        <v>1597.4672143835883</v>
      </c>
      <c r="Y15" s="18">
        <f t="shared" si="0"/>
        <v>1558.6270758986575</v>
      </c>
      <c r="Z15" s="18">
        <f t="shared" si="0"/>
        <v>1539.4588368734326</v>
      </c>
      <c r="AA15" s="18">
        <v>31</v>
      </c>
      <c r="AB15" s="18">
        <f>SUM(J15:Y15)*AA15*5/7</f>
        <v>410871.41996637045</v>
      </c>
      <c r="AC15" s="18">
        <f>AD15-AB15</f>
        <v>500569.37993889814</v>
      </c>
      <c r="AD15" s="18">
        <f>AA15*(SUM(C15:Z15))</f>
        <v>911440.79990526859</v>
      </c>
      <c r="AF15" s="18" t="s">
        <v>0</v>
      </c>
      <c r="AG15" s="17">
        <v>1</v>
      </c>
      <c r="AH15" s="18">
        <f>C15-C31</f>
        <v>1520.66656951711</v>
      </c>
      <c r="AI15" s="18">
        <f t="shared" ref="AI15:BE15" si="1">D15-D31</f>
        <v>1492.0119648072291</v>
      </c>
      <c r="AJ15" s="18">
        <f t="shared" si="1"/>
        <v>1464.7691573745192</v>
      </c>
      <c r="AK15" s="18">
        <f t="shared" si="1"/>
        <v>1484.2585772493817</v>
      </c>
      <c r="AL15" s="18">
        <f t="shared" si="1"/>
        <v>1583.6374844365807</v>
      </c>
      <c r="AM15" s="18">
        <f t="shared" si="1"/>
        <v>967.35761928825389</v>
      </c>
      <c r="AN15" s="18">
        <f t="shared" si="1"/>
        <v>596.47883407768222</v>
      </c>
      <c r="AO15" s="18">
        <f t="shared" si="1"/>
        <v>120.17163990966401</v>
      </c>
      <c r="AP15" s="18">
        <f t="shared" si="1"/>
        <v>-733.44868399987058</v>
      </c>
      <c r="AQ15" s="18">
        <f t="shared" si="1"/>
        <v>-1707.7404988708831</v>
      </c>
      <c r="AR15" s="18">
        <f t="shared" si="1"/>
        <v>-2726.0006965560156</v>
      </c>
      <c r="AS15" s="18">
        <f t="shared" si="1"/>
        <v>-3679.4757822869251</v>
      </c>
      <c r="AT15" s="18">
        <f t="shared" si="1"/>
        <v>-4268.2092058233666</v>
      </c>
      <c r="AU15" s="18">
        <f t="shared" si="1"/>
        <v>-4432.1770599943811</v>
      </c>
      <c r="AV15" s="18">
        <f t="shared" si="1"/>
        <v>-4099.8742528073217</v>
      </c>
      <c r="AW15" s="18">
        <f t="shared" si="1"/>
        <v>-3373.8978012014613</v>
      </c>
      <c r="AX15" s="18">
        <f t="shared" si="1"/>
        <v>-2421.1774831408848</v>
      </c>
      <c r="AY15" s="18">
        <f t="shared" si="1"/>
        <v>-1296.3288567514505</v>
      </c>
      <c r="AZ15" s="18">
        <f t="shared" si="1"/>
        <v>-177.3299959852626</v>
      </c>
      <c r="BA15" s="18">
        <f t="shared" si="1"/>
        <v>865.18370365660417</v>
      </c>
      <c r="BB15" s="18">
        <f t="shared" si="1"/>
        <v>1649.5402459215188</v>
      </c>
      <c r="BC15" s="18">
        <f t="shared" si="1"/>
        <v>1597.4672143835883</v>
      </c>
      <c r="BD15" s="18">
        <f t="shared" si="1"/>
        <v>1558.6270758986575</v>
      </c>
      <c r="BE15" s="18">
        <f t="shared" si="1"/>
        <v>1539.4588368734326</v>
      </c>
      <c r="BF15" s="18">
        <v>31</v>
      </c>
      <c r="BG15" s="18">
        <f>SUM(AO15:BD15)*BF15*5/7</f>
        <v>-512046.27397648682</v>
      </c>
      <c r="BH15" s="18">
        <f>BI15-BG15</f>
        <v>125289.30076175532</v>
      </c>
      <c r="BI15" s="18">
        <f t="shared" ref="BI15:BI26" si="2">BF15*(SUM(AH15:BE15))</f>
        <v>-386756.97321473149</v>
      </c>
      <c r="BK15" s="18" t="s">
        <v>0</v>
      </c>
      <c r="BL15" s="17">
        <v>1</v>
      </c>
      <c r="BM15" s="18">
        <f>AH47</f>
        <v>0</v>
      </c>
      <c r="BN15" s="18">
        <f>AI47</f>
        <v>0</v>
      </c>
      <c r="BO15" s="18">
        <f t="shared" ref="BO15:CJ15" si="3">AJ47</f>
        <v>0</v>
      </c>
      <c r="BP15" s="18">
        <f t="shared" si="3"/>
        <v>0</v>
      </c>
      <c r="BQ15" s="18">
        <f t="shared" si="3"/>
        <v>0</v>
      </c>
      <c r="BR15" s="18">
        <f t="shared" si="3"/>
        <v>0</v>
      </c>
      <c r="BS15" s="18">
        <f t="shared" si="3"/>
        <v>0</v>
      </c>
      <c r="BT15" s="18">
        <f t="shared" si="3"/>
        <v>0</v>
      </c>
      <c r="BU15" s="18">
        <f>AP47</f>
        <v>733.44868399987058</v>
      </c>
      <c r="BV15" s="18">
        <f t="shared" si="3"/>
        <v>1707.7404988708831</v>
      </c>
      <c r="BW15" s="18">
        <f t="shared" si="3"/>
        <v>2726.0006965560156</v>
      </c>
      <c r="BX15" s="18">
        <f t="shared" si="3"/>
        <v>3679.4757822869251</v>
      </c>
      <c r="BY15" s="18">
        <f t="shared" si="3"/>
        <v>4268.2092058233666</v>
      </c>
      <c r="BZ15" s="18">
        <f t="shared" si="3"/>
        <v>4432.1770599943811</v>
      </c>
      <c r="CA15" s="18">
        <f t="shared" si="3"/>
        <v>4099.8742528073217</v>
      </c>
      <c r="CB15" s="18">
        <f t="shared" si="3"/>
        <v>3373.8978012014613</v>
      </c>
      <c r="CC15" s="18">
        <f t="shared" si="3"/>
        <v>2421.1774831408848</v>
      </c>
      <c r="CD15" s="18">
        <f t="shared" si="3"/>
        <v>1296.3288567514505</v>
      </c>
      <c r="CE15" s="18">
        <f t="shared" si="3"/>
        <v>177.3299959852626</v>
      </c>
      <c r="CF15" s="18">
        <f t="shared" si="3"/>
        <v>0</v>
      </c>
      <c r="CG15" s="18">
        <f t="shared" si="3"/>
        <v>0</v>
      </c>
      <c r="CH15" s="18">
        <f t="shared" si="3"/>
        <v>0</v>
      </c>
      <c r="CI15" s="18">
        <f t="shared" si="3"/>
        <v>0</v>
      </c>
      <c r="CJ15" s="18">
        <f t="shared" si="3"/>
        <v>0</v>
      </c>
      <c r="CK15" s="18">
        <v>31</v>
      </c>
      <c r="CL15" s="18">
        <f>SUM(BT15:CI15)*CK15*5/7</f>
        <v>640275.33559996611</v>
      </c>
      <c r="CM15" s="18">
        <f>CN15-CL15</f>
        <v>256110.13423998642</v>
      </c>
      <c r="CN15" s="18">
        <f t="shared" ref="CN15:CN26" si="4">CK15*(SUM(BM15:CJ15))</f>
        <v>896385.46983995254</v>
      </c>
    </row>
    <row r="16" spans="1:92" x14ac:dyDescent="0.25">
      <c r="A16" s="17" t="s">
        <v>1</v>
      </c>
      <c r="B16" s="18">
        <v>2</v>
      </c>
      <c r="C16" s="18">
        <f t="shared" ref="C16:C26" si="5">$H$1*H81</f>
        <v>1533.9272605976807</v>
      </c>
      <c r="D16" s="18">
        <f t="shared" ref="D16:D26" si="6">$H$1*I81</f>
        <v>1501.7538230565597</v>
      </c>
      <c r="E16" s="18">
        <f t="shared" ref="E16:E26" si="7">$H$1*J81</f>
        <v>1499.1285484004959</v>
      </c>
      <c r="F16" s="18">
        <f t="shared" ref="F16:F26" si="8">$H$1*K81</f>
        <v>1532.8758944431861</v>
      </c>
      <c r="G16" s="18">
        <f t="shared" ref="G16:G26" si="9">$H$1*L81</f>
        <v>1604.1814563214552</v>
      </c>
      <c r="H16" s="18">
        <f t="shared" ref="H16:H26" si="10">$H$1*M81</f>
        <v>1519.0682995975619</v>
      </c>
      <c r="I16" s="18">
        <f t="shared" ref="I16:I26" si="11">$H$1*N81</f>
        <v>823.12773708451562</v>
      </c>
      <c r="J16" s="18">
        <f t="shared" ref="J16:J26" si="12">$H$1*O81</f>
        <v>881.00670569794761</v>
      </c>
      <c r="K16" s="18">
        <f t="shared" ref="K16:K26" si="13">$H$1*P81</f>
        <v>1000.1881510032197</v>
      </c>
      <c r="L16" s="18">
        <f t="shared" ref="L16:L26" si="14">$H$1*Q81</f>
        <v>1069.9777366357407</v>
      </c>
      <c r="M16" s="18">
        <f t="shared" ref="M16:M26" si="15">$H$1*R81</f>
        <v>1098.6050693360346</v>
      </c>
      <c r="N16" s="18">
        <f t="shared" ref="N16:N26" si="16">$H$1*S81</f>
        <v>1128.247260959831</v>
      </c>
      <c r="O16" s="18">
        <f t="shared" ref="O16:O26" si="17">$H$1*T81</f>
        <v>1158.1553419875374</v>
      </c>
      <c r="P16" s="18">
        <f t="shared" ref="P16:P26" si="18">$H$1*U81</f>
        <v>1172.437687725951</v>
      </c>
      <c r="Q16" s="18">
        <f t="shared" ref="Q16:Q26" si="19">$H$1*V81</f>
        <v>1159.0700366010424</v>
      </c>
      <c r="R16" s="18">
        <f t="shared" ref="R16:R26" si="20">$H$1*W81</f>
        <v>1159.9757682508407</v>
      </c>
      <c r="S16" s="18">
        <f t="shared" ref="S16:S26" si="21">$H$1*X81</f>
        <v>1135.2419560691192</v>
      </c>
      <c r="T16" s="18">
        <f t="shared" ref="T16:T26" si="22">$H$1*Y81</f>
        <v>1068.5957073548029</v>
      </c>
      <c r="U16" s="18">
        <f t="shared" ref="U16:U26" si="23">$H$1*Z81</f>
        <v>1050.7793761673511</v>
      </c>
      <c r="V16" s="18">
        <f t="shared" ref="V16:V26" si="24">$H$1*AA81</f>
        <v>1797.6095060434627</v>
      </c>
      <c r="W16" s="18">
        <f t="shared" ref="W16:W26" si="25">$H$1*AB81</f>
        <v>1810.3384821345685</v>
      </c>
      <c r="X16" s="18">
        <f t="shared" ref="X16:X26" si="26">$H$1*AC81</f>
        <v>1706.1899056398679</v>
      </c>
      <c r="Y16" s="18">
        <f t="shared" ref="Y16:Y26" si="27">$H$1*AD81</f>
        <v>1589.1033245289054</v>
      </c>
      <c r="Z16" s="18">
        <f t="shared" ref="Z16:Z26" si="28">$H$1*AE81</f>
        <v>1561.5955062108035</v>
      </c>
      <c r="AA16" s="18">
        <v>28</v>
      </c>
      <c r="AB16" s="18">
        <f t="shared" ref="AB16:AB26" si="29">SUM(J16:Y16)*AA16*5/7</f>
        <v>399710.44032272452</v>
      </c>
      <c r="AC16" s="18">
        <f t="shared" ref="AC16:AC26" si="30">AD16-AB16</f>
        <v>484002.61484903295</v>
      </c>
      <c r="AD16" s="18">
        <f t="shared" ref="AD16:AD26" si="31">AA16*(SUM(C16:Z16))</f>
        <v>883713.05517175747</v>
      </c>
      <c r="AF16" s="18" t="s">
        <v>1</v>
      </c>
      <c r="AG16" s="17">
        <v>2</v>
      </c>
      <c r="AH16" s="18">
        <f t="shared" ref="AH16:AH26" si="32">C16-C32</f>
        <v>1533.9272605976807</v>
      </c>
      <c r="AI16" s="18">
        <f t="shared" ref="AI16:AI26" si="33">D16-D32</f>
        <v>1501.7538230565597</v>
      </c>
      <c r="AJ16" s="18">
        <f t="shared" ref="AJ16:AJ26" si="34">E16-E32</f>
        <v>1499.1285484004959</v>
      </c>
      <c r="AK16" s="18">
        <f t="shared" ref="AK16:AK26" si="35">F16-F32</f>
        <v>1532.8758944431861</v>
      </c>
      <c r="AL16" s="18">
        <f t="shared" ref="AL16:AL26" si="36">G16-G32</f>
        <v>1604.1814563214552</v>
      </c>
      <c r="AM16" s="18">
        <f t="shared" ref="AM16:AM26" si="37">H16-H32</f>
        <v>1519.0682995975619</v>
      </c>
      <c r="AN16" s="18">
        <f t="shared" ref="AN16:AN26" si="38">I16-I32</f>
        <v>763.96965708451557</v>
      </c>
      <c r="AO16" s="18">
        <f t="shared" ref="AO16:AO26" si="39">J16-J32</f>
        <v>420.88830569794771</v>
      </c>
      <c r="AP16" s="18">
        <f t="shared" ref="AP16:AP26" si="40">K16-K32</f>
        <v>-551.06816899678051</v>
      </c>
      <c r="AQ16" s="18">
        <f t="shared" ref="AQ16:AQ26" si="41">L16-L32</f>
        <v>-1677.5864233642596</v>
      </c>
      <c r="AR16" s="18">
        <f t="shared" ref="AR16:AR26" si="42">M16-M32</f>
        <v>-2792.6819706639644</v>
      </c>
      <c r="AS16" s="18">
        <f t="shared" ref="AS16:AS26" si="43">N16-N32</f>
        <v>-3709.5690590401682</v>
      </c>
      <c r="AT16" s="18">
        <f t="shared" ref="AT16:AT26" si="44">O16-O32</f>
        <v>-4323.8267380124616</v>
      </c>
      <c r="AU16" s="18">
        <f t="shared" ref="AU16:AU26" si="45">P16-P32</f>
        <v>-4480.4455122740483</v>
      </c>
      <c r="AV16" s="18">
        <f t="shared" ref="AV16:AV26" si="46">Q16-Q32</f>
        <v>-4138.8646833989596</v>
      </c>
      <c r="AW16" s="18">
        <f t="shared" ref="AW16:AW26" si="47">R16-R32</f>
        <v>-3382.0501517491593</v>
      </c>
      <c r="AX16" s="18">
        <f t="shared" ref="AX16:AX26" si="48">S16-S32</f>
        <v>-2341.9385239308799</v>
      </c>
      <c r="AY16" s="18">
        <f t="shared" ref="AY16:AY26" si="49">T16-T32</f>
        <v>-1139.972612645196</v>
      </c>
      <c r="AZ16" s="18">
        <f t="shared" ref="AZ16:AZ26" si="50">U16-U32</f>
        <v>71.384496167351131</v>
      </c>
      <c r="BA16" s="18">
        <f t="shared" ref="BA16:BA26" si="51">V16-V32</f>
        <v>1613.5621460434627</v>
      </c>
      <c r="BB16" s="18">
        <f t="shared" ref="BB16:BB26" si="52">W16-W32</f>
        <v>1810.3384821345685</v>
      </c>
      <c r="BC16" s="18">
        <f t="shared" ref="BC16:BC26" si="53">X16-X32</f>
        <v>1706.1899056398679</v>
      </c>
      <c r="BD16" s="18">
        <f t="shared" ref="BD16:BD26" si="54">Y16-Y32</f>
        <v>1589.1033245289054</v>
      </c>
      <c r="BE16" s="18">
        <f t="shared" ref="BE16:BE26" si="55">Z16-Z32</f>
        <v>1561.5955062108035</v>
      </c>
      <c r="BF16" s="18">
        <v>28</v>
      </c>
      <c r="BG16" s="18">
        <f t="shared" ref="BG16:BG26" si="56">SUM(AO16:BD16)*BF16*5/7</f>
        <v>-426530.7436772756</v>
      </c>
      <c r="BH16" s="18">
        <f t="shared" ref="BH16:BH26" si="57">BI16-BG16</f>
        <v>151849.71500903316</v>
      </c>
      <c r="BI16" s="18">
        <f t="shared" si="2"/>
        <v>-274681.02866824245</v>
      </c>
      <c r="BK16" s="18" t="s">
        <v>1</v>
      </c>
      <c r="BL16" s="17">
        <v>2</v>
      </c>
      <c r="BM16" s="18">
        <f t="shared" ref="BM16:BM26" si="58">AH48</f>
        <v>0</v>
      </c>
      <c r="BN16" s="18">
        <f t="shared" ref="BN16:BN26" si="59">AI48</f>
        <v>0</v>
      </c>
      <c r="BO16" s="18">
        <f t="shared" ref="BO16:BO26" si="60">AJ48</f>
        <v>0</v>
      </c>
      <c r="BP16" s="18">
        <f t="shared" ref="BP16:BP26" si="61">AK48</f>
        <v>0</v>
      </c>
      <c r="BQ16" s="18">
        <f t="shared" ref="BQ16:BQ26" si="62">AL48</f>
        <v>0</v>
      </c>
      <c r="BR16" s="18">
        <f t="shared" ref="BR16:BR26" si="63">AM48</f>
        <v>0</v>
      </c>
      <c r="BS16" s="18">
        <f t="shared" ref="BS16:BS26" si="64">AN48</f>
        <v>0</v>
      </c>
      <c r="BT16" s="18">
        <f t="shared" ref="BT16:BT26" si="65">AO48</f>
        <v>0</v>
      </c>
      <c r="BU16" s="18">
        <f t="shared" ref="BU16:BU26" si="66">AP48</f>
        <v>551.06816899678051</v>
      </c>
      <c r="BV16" s="18">
        <f t="shared" ref="BV16:BV26" si="67">AQ48</f>
        <v>1677.5864233642596</v>
      </c>
      <c r="BW16" s="18">
        <f t="shared" ref="BW16:BW26" si="68">AR48</f>
        <v>2792.6819706639644</v>
      </c>
      <c r="BX16" s="18">
        <f t="shared" ref="BX16:BX26" si="69">AS48</f>
        <v>3709.5690590401682</v>
      </c>
      <c r="BY16" s="18">
        <f t="shared" ref="BY16:BY26" si="70">AT48</f>
        <v>4323.8267380124616</v>
      </c>
      <c r="BZ16" s="18">
        <f t="shared" ref="BZ16:BZ26" si="71">AU48</f>
        <v>4480.4455122740483</v>
      </c>
      <c r="CA16" s="18">
        <f t="shared" ref="CA16:CA26" si="72">AV48</f>
        <v>4138.8646833989596</v>
      </c>
      <c r="CB16" s="18">
        <f t="shared" ref="CB16:CB26" si="73">AW48</f>
        <v>3382.0501517491593</v>
      </c>
      <c r="CC16" s="18">
        <f t="shared" ref="CC16:CC26" si="74">AX48</f>
        <v>2341.9385239308799</v>
      </c>
      <c r="CD16" s="18">
        <f t="shared" ref="CD16:CD26" si="75">AY48</f>
        <v>1139.972612645196</v>
      </c>
      <c r="CE16" s="18">
        <f t="shared" ref="CE16:CE26" si="76">AZ48</f>
        <v>0</v>
      </c>
      <c r="CF16" s="18">
        <f t="shared" ref="CF16:CF26" si="77">BA48</f>
        <v>0</v>
      </c>
      <c r="CG16" s="18">
        <f t="shared" ref="CG16:CG26" si="78">BB48</f>
        <v>0</v>
      </c>
      <c r="CH16" s="18">
        <f t="shared" ref="CH16:CH26" si="79">BC48</f>
        <v>0</v>
      </c>
      <c r="CI16" s="18">
        <f t="shared" ref="CI16:CI26" si="80">BD48</f>
        <v>0</v>
      </c>
      <c r="CJ16" s="18">
        <f t="shared" ref="CJ16:CJ26" si="81">BE48</f>
        <v>0</v>
      </c>
      <c r="CK16" s="18">
        <v>28</v>
      </c>
      <c r="CL16" s="18">
        <f t="shared" ref="CL16:CL26" si="82">SUM(BT16:CI16)*CK16*5/7</f>
        <v>570760.07688151754</v>
      </c>
      <c r="CM16" s="18">
        <f t="shared" ref="CM16:CM26" si="83">CN16-CL16</f>
        <v>228304.03075260704</v>
      </c>
      <c r="CN16" s="18">
        <f t="shared" si="4"/>
        <v>799064.10763412458</v>
      </c>
    </row>
    <row r="17" spans="1:92" x14ac:dyDescent="0.25">
      <c r="A17" s="17" t="s">
        <v>2</v>
      </c>
      <c r="B17" s="18">
        <v>3</v>
      </c>
      <c r="C17" s="18">
        <f t="shared" si="5"/>
        <v>1572.4364464733935</v>
      </c>
      <c r="D17" s="18">
        <f t="shared" si="6"/>
        <v>1537.1421823399328</v>
      </c>
      <c r="E17" s="18">
        <f t="shared" si="7"/>
        <v>1531.9118604521536</v>
      </c>
      <c r="F17" s="18">
        <f t="shared" si="8"/>
        <v>1569.6803507164302</v>
      </c>
      <c r="G17" s="18">
        <f t="shared" si="9"/>
        <v>1643.0627878855321</v>
      </c>
      <c r="H17" s="18">
        <f t="shared" si="10"/>
        <v>1749.9632037837218</v>
      </c>
      <c r="I17" s="18">
        <f t="shared" si="11"/>
        <v>1138.6360891902827</v>
      </c>
      <c r="J17" s="18">
        <f t="shared" si="12"/>
        <v>922.46453114908559</v>
      </c>
      <c r="K17" s="18">
        <f t="shared" si="13"/>
        <v>1059.2726781432589</v>
      </c>
      <c r="L17" s="18">
        <f t="shared" si="14"/>
        <v>1130.8700959092841</v>
      </c>
      <c r="M17" s="18">
        <f t="shared" si="15"/>
        <v>1187.6433576159338</v>
      </c>
      <c r="N17" s="18">
        <f t="shared" si="16"/>
        <v>1224.8376152434685</v>
      </c>
      <c r="O17" s="18">
        <f t="shared" si="17"/>
        <v>1260.2371545865822</v>
      </c>
      <c r="P17" s="18">
        <f t="shared" si="18"/>
        <v>1244.823477175727</v>
      </c>
      <c r="Q17" s="18">
        <f t="shared" si="19"/>
        <v>1224.0056867199412</v>
      </c>
      <c r="R17" s="18">
        <f t="shared" si="20"/>
        <v>1207.48796522664</v>
      </c>
      <c r="S17" s="18">
        <f t="shared" si="21"/>
        <v>1210.1064245491127</v>
      </c>
      <c r="T17" s="18">
        <f t="shared" si="22"/>
        <v>1172.1573870588375</v>
      </c>
      <c r="U17" s="18">
        <f t="shared" si="23"/>
        <v>1627.6377955960452</v>
      </c>
      <c r="V17" s="18">
        <f t="shared" si="24"/>
        <v>2190.1252349043643</v>
      </c>
      <c r="W17" s="18">
        <f t="shared" si="25"/>
        <v>1841.8822809720359</v>
      </c>
      <c r="X17" s="18">
        <f t="shared" si="26"/>
        <v>1697.1644714266288</v>
      </c>
      <c r="Y17" s="18">
        <f t="shared" si="27"/>
        <v>1632.7066221388186</v>
      </c>
      <c r="Z17" s="18">
        <f t="shared" si="28"/>
        <v>1593.7083992364578</v>
      </c>
      <c r="AA17" s="18">
        <v>31</v>
      </c>
      <c r="AB17" s="18">
        <f t="shared" si="29"/>
        <v>483454.36152206344</v>
      </c>
      <c r="AC17" s="18">
        <f t="shared" si="30"/>
        <v>575814.52553124051</v>
      </c>
      <c r="AD17" s="18">
        <f t="shared" si="31"/>
        <v>1059268.8870533039</v>
      </c>
      <c r="AF17" s="18" t="s">
        <v>2</v>
      </c>
      <c r="AG17" s="17">
        <v>3</v>
      </c>
      <c r="AH17" s="18">
        <f t="shared" si="32"/>
        <v>1572.4364464733935</v>
      </c>
      <c r="AI17" s="18">
        <f t="shared" si="33"/>
        <v>1537.1421823399328</v>
      </c>
      <c r="AJ17" s="18">
        <f t="shared" si="34"/>
        <v>1531.9118604521536</v>
      </c>
      <c r="AK17" s="18">
        <f t="shared" si="35"/>
        <v>1569.6803507164302</v>
      </c>
      <c r="AL17" s="18">
        <f t="shared" si="36"/>
        <v>1643.0627878855321</v>
      </c>
      <c r="AM17" s="18">
        <f t="shared" si="37"/>
        <v>1749.9632037837218</v>
      </c>
      <c r="AN17" s="18">
        <f t="shared" si="38"/>
        <v>1132.0629691902827</v>
      </c>
      <c r="AO17" s="18">
        <f t="shared" si="39"/>
        <v>698.97845114908569</v>
      </c>
      <c r="AP17" s="18">
        <f t="shared" si="40"/>
        <v>-248.77820185674136</v>
      </c>
      <c r="AQ17" s="18">
        <f t="shared" si="41"/>
        <v>-1366.9155040907174</v>
      </c>
      <c r="AR17" s="18">
        <f t="shared" si="42"/>
        <v>-2407.8532823840646</v>
      </c>
      <c r="AS17" s="18">
        <f t="shared" si="43"/>
        <v>-3218.5915047565331</v>
      </c>
      <c r="AT17" s="18">
        <f t="shared" si="44"/>
        <v>-3715.6146854134172</v>
      </c>
      <c r="AU17" s="18">
        <f t="shared" si="45"/>
        <v>-3882.2101228242709</v>
      </c>
      <c r="AV17" s="18">
        <f t="shared" si="46"/>
        <v>-3508.6407132800578</v>
      </c>
      <c r="AW17" s="18">
        <f t="shared" si="47"/>
        <v>-2788.9689947733591</v>
      </c>
      <c r="AX17" s="18">
        <f t="shared" si="48"/>
        <v>-1701.785735450889</v>
      </c>
      <c r="AY17" s="18">
        <f t="shared" si="49"/>
        <v>-543.42693294116384</v>
      </c>
      <c r="AZ17" s="18">
        <f t="shared" si="50"/>
        <v>1200.384995596045</v>
      </c>
      <c r="BA17" s="18">
        <f t="shared" si="51"/>
        <v>2150.6865149043642</v>
      </c>
      <c r="BB17" s="18">
        <f t="shared" si="52"/>
        <v>1841.8822809720359</v>
      </c>
      <c r="BC17" s="18">
        <f t="shared" si="53"/>
        <v>1697.1644714266288</v>
      </c>
      <c r="BD17" s="18">
        <f t="shared" si="54"/>
        <v>1632.7066221388186</v>
      </c>
      <c r="BE17" s="18">
        <f t="shared" si="55"/>
        <v>1593.7083992364578</v>
      </c>
      <c r="BF17" s="18">
        <v>31</v>
      </c>
      <c r="BG17" s="18">
        <f t="shared" si="56"/>
        <v>-313564.60899222223</v>
      </c>
      <c r="BH17" s="18">
        <f t="shared" si="57"/>
        <v>256803.17060552596</v>
      </c>
      <c r="BI17" s="18">
        <f t="shared" si="2"/>
        <v>-56761.438386696282</v>
      </c>
      <c r="BK17" s="18" t="s">
        <v>2</v>
      </c>
      <c r="BL17" s="17">
        <v>3</v>
      </c>
      <c r="BM17" s="18">
        <f t="shared" si="58"/>
        <v>0</v>
      </c>
      <c r="BN17" s="18">
        <f t="shared" si="59"/>
        <v>0</v>
      </c>
      <c r="BO17" s="18">
        <f t="shared" si="60"/>
        <v>0</v>
      </c>
      <c r="BP17" s="18">
        <f t="shared" si="61"/>
        <v>0</v>
      </c>
      <c r="BQ17" s="18">
        <f t="shared" si="62"/>
        <v>0</v>
      </c>
      <c r="BR17" s="18">
        <f t="shared" si="63"/>
        <v>0</v>
      </c>
      <c r="BS17" s="18">
        <f t="shared" si="64"/>
        <v>0</v>
      </c>
      <c r="BT17" s="18">
        <f t="shared" si="65"/>
        <v>0</v>
      </c>
      <c r="BU17" s="18">
        <f t="shared" si="66"/>
        <v>248.77820185674136</v>
      </c>
      <c r="BV17" s="18">
        <f t="shared" si="67"/>
        <v>1366.9155040907174</v>
      </c>
      <c r="BW17" s="18">
        <f t="shared" si="68"/>
        <v>2407.8532823840646</v>
      </c>
      <c r="BX17" s="18">
        <f t="shared" si="69"/>
        <v>3218.5915047565331</v>
      </c>
      <c r="BY17" s="18">
        <f t="shared" si="70"/>
        <v>3715.6146854134172</v>
      </c>
      <c r="BZ17" s="18">
        <f t="shared" si="71"/>
        <v>3882.2101228242709</v>
      </c>
      <c r="CA17" s="18">
        <f t="shared" si="72"/>
        <v>3508.6407132800578</v>
      </c>
      <c r="CB17" s="18">
        <f t="shared" si="73"/>
        <v>2788.9689947733591</v>
      </c>
      <c r="CC17" s="18">
        <f t="shared" si="74"/>
        <v>1701.785735450889</v>
      </c>
      <c r="CD17" s="18">
        <f t="shared" si="75"/>
        <v>543.42693294116384</v>
      </c>
      <c r="CE17" s="18">
        <f t="shared" si="76"/>
        <v>0</v>
      </c>
      <c r="CF17" s="18">
        <f t="shared" si="77"/>
        <v>0</v>
      </c>
      <c r="CG17" s="18">
        <f t="shared" si="78"/>
        <v>0</v>
      </c>
      <c r="CH17" s="18">
        <f t="shared" si="79"/>
        <v>0</v>
      </c>
      <c r="CI17" s="18">
        <f t="shared" si="80"/>
        <v>0</v>
      </c>
      <c r="CJ17" s="18">
        <f t="shared" si="81"/>
        <v>0</v>
      </c>
      <c r="CK17" s="18">
        <v>31</v>
      </c>
      <c r="CL17" s="18">
        <f t="shared" si="82"/>
        <v>517761.68286493409</v>
      </c>
      <c r="CM17" s="18">
        <f t="shared" si="83"/>
        <v>207104.67314597359</v>
      </c>
      <c r="CN17" s="18">
        <f t="shared" si="4"/>
        <v>724866.35601090768</v>
      </c>
    </row>
    <row r="18" spans="1:92" x14ac:dyDescent="0.25">
      <c r="A18" s="17" t="s">
        <v>3</v>
      </c>
      <c r="B18" s="18">
        <v>4</v>
      </c>
      <c r="C18" s="18">
        <f t="shared" si="5"/>
        <v>1494.6946775335368</v>
      </c>
      <c r="D18" s="18">
        <f t="shared" si="6"/>
        <v>1478.2681337175006</v>
      </c>
      <c r="E18" s="18">
        <f t="shared" si="7"/>
        <v>1453.6726589758939</v>
      </c>
      <c r="F18" s="18">
        <f t="shared" si="8"/>
        <v>1454.5768849973865</v>
      </c>
      <c r="G18" s="18">
        <f t="shared" si="9"/>
        <v>1486.5756611151651</v>
      </c>
      <c r="H18" s="18">
        <f t="shared" si="10"/>
        <v>1566.8251001404346</v>
      </c>
      <c r="I18" s="18">
        <f t="shared" si="11"/>
        <v>1428.8679965486549</v>
      </c>
      <c r="J18" s="18">
        <f t="shared" si="12"/>
        <v>753.17067739033212</v>
      </c>
      <c r="K18" s="18">
        <f t="shared" si="13"/>
        <v>784.73470380512981</v>
      </c>
      <c r="L18" s="18">
        <f t="shared" si="14"/>
        <v>875.43615523011078</v>
      </c>
      <c r="M18" s="18">
        <f t="shared" si="15"/>
        <v>919.1823794386703</v>
      </c>
      <c r="N18" s="18">
        <f t="shared" si="16"/>
        <v>910.3044496806084</v>
      </c>
      <c r="O18" s="18">
        <f t="shared" si="17"/>
        <v>925.56094318138253</v>
      </c>
      <c r="P18" s="18">
        <f t="shared" si="18"/>
        <v>944.79378203028136</v>
      </c>
      <c r="Q18" s="18">
        <f t="shared" si="19"/>
        <v>943.97372588767678</v>
      </c>
      <c r="R18" s="18">
        <f t="shared" si="20"/>
        <v>935.43805655410256</v>
      </c>
      <c r="S18" s="18">
        <f t="shared" si="21"/>
        <v>943.05703385117329</v>
      </c>
      <c r="T18" s="18">
        <f t="shared" si="22"/>
        <v>1062.2037531789185</v>
      </c>
      <c r="U18" s="18">
        <f t="shared" si="23"/>
        <v>1771.6956647802576</v>
      </c>
      <c r="V18" s="18">
        <f t="shared" si="24"/>
        <v>1774.0391563363523</v>
      </c>
      <c r="W18" s="18">
        <f t="shared" si="25"/>
        <v>1702.7595810249009</v>
      </c>
      <c r="X18" s="18">
        <f t="shared" si="26"/>
        <v>1595.8819292871779</v>
      </c>
      <c r="Y18" s="18">
        <f t="shared" si="27"/>
        <v>1554.6146922032237</v>
      </c>
      <c r="Z18" s="18">
        <f t="shared" si="28"/>
        <v>1513.8528266488827</v>
      </c>
      <c r="AA18" s="18">
        <v>30</v>
      </c>
      <c r="AB18" s="18">
        <f t="shared" si="29"/>
        <v>394218.14322557778</v>
      </c>
      <c r="AC18" s="18">
        <f t="shared" si="30"/>
        <v>514007.2754805549</v>
      </c>
      <c r="AD18" s="18">
        <f t="shared" si="31"/>
        <v>908225.41870613268</v>
      </c>
      <c r="AF18" s="18" t="s">
        <v>3</v>
      </c>
      <c r="AG18" s="17">
        <v>4</v>
      </c>
      <c r="AH18" s="18">
        <f t="shared" si="32"/>
        <v>1494.6946775335368</v>
      </c>
      <c r="AI18" s="18">
        <f t="shared" si="33"/>
        <v>1478.2681337175006</v>
      </c>
      <c r="AJ18" s="18">
        <f t="shared" si="34"/>
        <v>1453.6726589758939</v>
      </c>
      <c r="AK18" s="18">
        <f t="shared" si="35"/>
        <v>1454.5768849973865</v>
      </c>
      <c r="AL18" s="18">
        <f t="shared" si="36"/>
        <v>1486.5756611151651</v>
      </c>
      <c r="AM18" s="18">
        <f t="shared" si="37"/>
        <v>1566.8251001404346</v>
      </c>
      <c r="AN18" s="18">
        <f t="shared" si="38"/>
        <v>1428.8679965486549</v>
      </c>
      <c r="AO18" s="18">
        <f t="shared" si="39"/>
        <v>687.43947739033217</v>
      </c>
      <c r="AP18" s="18">
        <f t="shared" si="40"/>
        <v>22.252783805130207</v>
      </c>
      <c r="AQ18" s="18">
        <f t="shared" si="41"/>
        <v>-1241.1084847698894</v>
      </c>
      <c r="AR18" s="18">
        <f t="shared" si="42"/>
        <v>-2281.9270605613301</v>
      </c>
      <c r="AS18" s="18">
        <f t="shared" si="43"/>
        <v>-2987.5557103193892</v>
      </c>
      <c r="AT18" s="18">
        <f t="shared" si="44"/>
        <v>-3452.1369768186196</v>
      </c>
      <c r="AU18" s="18">
        <f t="shared" si="45"/>
        <v>-3393.4654179697191</v>
      </c>
      <c r="AV18" s="18">
        <f t="shared" si="46"/>
        <v>-2980.178914112324</v>
      </c>
      <c r="AW18" s="18">
        <f t="shared" si="47"/>
        <v>-2226.2326634458968</v>
      </c>
      <c r="AX18" s="18">
        <f t="shared" si="48"/>
        <v>-1212.9263261488263</v>
      </c>
      <c r="AY18" s="18">
        <f t="shared" si="49"/>
        <v>266.85623317891884</v>
      </c>
      <c r="AZ18" s="18">
        <f t="shared" si="50"/>
        <v>1692.8182247802577</v>
      </c>
      <c r="BA18" s="18">
        <f t="shared" si="51"/>
        <v>1774.0391563363523</v>
      </c>
      <c r="BB18" s="18">
        <f t="shared" si="52"/>
        <v>1702.7595810249009</v>
      </c>
      <c r="BC18" s="18">
        <f t="shared" si="53"/>
        <v>1595.8819292871779</v>
      </c>
      <c r="BD18" s="18">
        <f t="shared" si="54"/>
        <v>1554.6146922032237</v>
      </c>
      <c r="BE18" s="18">
        <f t="shared" si="55"/>
        <v>1513.8528266488827</v>
      </c>
      <c r="BF18" s="18">
        <v>30</v>
      </c>
      <c r="BG18" s="18">
        <f t="shared" si="56"/>
        <v>-224547.20306013647</v>
      </c>
      <c r="BH18" s="18">
        <f t="shared" si="57"/>
        <v>266501.136966269</v>
      </c>
      <c r="BI18" s="18">
        <f t="shared" si="2"/>
        <v>41953.933906132559</v>
      </c>
      <c r="BK18" s="18" t="s">
        <v>3</v>
      </c>
      <c r="BL18" s="17">
        <v>4</v>
      </c>
      <c r="BM18" s="18">
        <f t="shared" si="58"/>
        <v>0</v>
      </c>
      <c r="BN18" s="18">
        <f t="shared" si="59"/>
        <v>0</v>
      </c>
      <c r="BO18" s="18">
        <f t="shared" si="60"/>
        <v>0</v>
      </c>
      <c r="BP18" s="18">
        <f t="shared" si="61"/>
        <v>0</v>
      </c>
      <c r="BQ18" s="18">
        <f t="shared" si="62"/>
        <v>0</v>
      </c>
      <c r="BR18" s="18">
        <f t="shared" si="63"/>
        <v>0</v>
      </c>
      <c r="BS18" s="18">
        <f t="shared" si="64"/>
        <v>0</v>
      </c>
      <c r="BT18" s="18">
        <f t="shared" si="65"/>
        <v>0</v>
      </c>
      <c r="BU18" s="18">
        <f t="shared" si="66"/>
        <v>0</v>
      </c>
      <c r="BV18" s="18">
        <f t="shared" si="67"/>
        <v>1241.1084847698894</v>
      </c>
      <c r="BW18" s="18">
        <f t="shared" si="68"/>
        <v>2281.9270605613301</v>
      </c>
      <c r="BX18" s="18">
        <f t="shared" si="69"/>
        <v>2987.5557103193892</v>
      </c>
      <c r="BY18" s="18">
        <f t="shared" si="70"/>
        <v>3452.1369768186196</v>
      </c>
      <c r="BZ18" s="18">
        <f t="shared" si="71"/>
        <v>3393.4654179697191</v>
      </c>
      <c r="CA18" s="18">
        <f t="shared" si="72"/>
        <v>2980.178914112324</v>
      </c>
      <c r="CB18" s="18">
        <f t="shared" si="73"/>
        <v>2226.2326634458968</v>
      </c>
      <c r="CC18" s="18">
        <f t="shared" si="74"/>
        <v>1212.9263261488263</v>
      </c>
      <c r="CD18" s="18">
        <f t="shared" si="75"/>
        <v>0</v>
      </c>
      <c r="CE18" s="18">
        <f t="shared" si="76"/>
        <v>0</v>
      </c>
      <c r="CF18" s="18">
        <f t="shared" si="77"/>
        <v>0</v>
      </c>
      <c r="CG18" s="18">
        <f t="shared" si="78"/>
        <v>0</v>
      </c>
      <c r="CH18" s="18">
        <f t="shared" si="79"/>
        <v>0</v>
      </c>
      <c r="CI18" s="18">
        <f t="shared" si="80"/>
        <v>0</v>
      </c>
      <c r="CJ18" s="18">
        <f t="shared" si="81"/>
        <v>0</v>
      </c>
      <c r="CK18" s="18">
        <v>30</v>
      </c>
      <c r="CL18" s="18">
        <f t="shared" si="82"/>
        <v>423761.39044598571</v>
      </c>
      <c r="CM18" s="18">
        <f t="shared" si="83"/>
        <v>169504.55617839424</v>
      </c>
      <c r="CN18" s="18">
        <f t="shared" si="4"/>
        <v>593265.94662437995</v>
      </c>
    </row>
    <row r="19" spans="1:92" x14ac:dyDescent="0.25">
      <c r="A19" s="17" t="s">
        <v>4</v>
      </c>
      <c r="B19" s="18">
        <v>5</v>
      </c>
      <c r="C19" s="18">
        <f t="shared" si="5"/>
        <v>1464.8285536062099</v>
      </c>
      <c r="D19" s="18">
        <f t="shared" si="6"/>
        <v>1440.5371439653006</v>
      </c>
      <c r="E19" s="18">
        <f t="shared" si="7"/>
        <v>1400.7703150087</v>
      </c>
      <c r="F19" s="18">
        <f t="shared" si="8"/>
        <v>1396.34726247239</v>
      </c>
      <c r="G19" s="18">
        <f t="shared" si="9"/>
        <v>1422.2944667840111</v>
      </c>
      <c r="H19" s="18">
        <f t="shared" si="10"/>
        <v>1537.2631497374064</v>
      </c>
      <c r="I19" s="18">
        <f t="shared" si="11"/>
        <v>1675.5128545661973</v>
      </c>
      <c r="J19" s="18">
        <f t="shared" si="12"/>
        <v>1021.6737392756622</v>
      </c>
      <c r="K19" s="18">
        <f t="shared" si="13"/>
        <v>857.96270910726525</v>
      </c>
      <c r="L19" s="18">
        <f t="shared" si="14"/>
        <v>903.23832734588825</v>
      </c>
      <c r="M19" s="18">
        <f t="shared" si="15"/>
        <v>923.12868047971165</v>
      </c>
      <c r="N19" s="18">
        <f t="shared" si="16"/>
        <v>909.84661679867236</v>
      </c>
      <c r="O19" s="18">
        <f t="shared" si="17"/>
        <v>904.88383487044109</v>
      </c>
      <c r="P19" s="18">
        <f t="shared" si="18"/>
        <v>904.75974335280068</v>
      </c>
      <c r="Q19" s="18">
        <f t="shared" si="19"/>
        <v>898.25967385239551</v>
      </c>
      <c r="R19" s="18">
        <f t="shared" si="20"/>
        <v>897.38554816104488</v>
      </c>
      <c r="S19" s="18">
        <f t="shared" si="21"/>
        <v>948.79949974941087</v>
      </c>
      <c r="T19" s="18">
        <f t="shared" si="22"/>
        <v>1682.4155724218285</v>
      </c>
      <c r="U19" s="18">
        <f t="shared" si="23"/>
        <v>2291.8503058583378</v>
      </c>
      <c r="V19" s="18">
        <f t="shared" si="24"/>
        <v>2291.647760001073</v>
      </c>
      <c r="W19" s="18">
        <f t="shared" si="25"/>
        <v>2072.1093575275968</v>
      </c>
      <c r="X19" s="18">
        <f t="shared" si="26"/>
        <v>1726.1779706005213</v>
      </c>
      <c r="Y19" s="18">
        <f t="shared" si="27"/>
        <v>1607.8099183364905</v>
      </c>
      <c r="Z19" s="18">
        <f t="shared" si="28"/>
        <v>1498.3140178791859</v>
      </c>
      <c r="AA19" s="18">
        <v>31</v>
      </c>
      <c r="AB19" s="18">
        <f t="shared" si="29"/>
        <v>461500.30499279534</v>
      </c>
      <c r="AC19" s="18">
        <f t="shared" si="30"/>
        <v>551512.02268171939</v>
      </c>
      <c r="AD19" s="18">
        <f t="shared" si="31"/>
        <v>1013012.3276745147</v>
      </c>
      <c r="AF19" s="18" t="s">
        <v>4</v>
      </c>
      <c r="AG19" s="17">
        <v>5</v>
      </c>
      <c r="AH19" s="18">
        <f t="shared" si="32"/>
        <v>1464.8285536062099</v>
      </c>
      <c r="AI19" s="18">
        <f t="shared" si="33"/>
        <v>1440.5371439653006</v>
      </c>
      <c r="AJ19" s="18">
        <f t="shared" si="34"/>
        <v>1400.7703150087</v>
      </c>
      <c r="AK19" s="18">
        <f t="shared" si="35"/>
        <v>1396.34726247239</v>
      </c>
      <c r="AL19" s="18">
        <f t="shared" si="36"/>
        <v>1422.2944667840111</v>
      </c>
      <c r="AM19" s="18">
        <f t="shared" si="37"/>
        <v>1537.2631497374064</v>
      </c>
      <c r="AN19" s="18">
        <f t="shared" si="38"/>
        <v>1675.5128545661973</v>
      </c>
      <c r="AO19" s="18">
        <f t="shared" si="39"/>
        <v>1015.1006192756622</v>
      </c>
      <c r="AP19" s="18">
        <f t="shared" si="40"/>
        <v>588.46478910726523</v>
      </c>
      <c r="AQ19" s="18">
        <f t="shared" si="41"/>
        <v>-582.28679265411085</v>
      </c>
      <c r="AR19" s="18">
        <f t="shared" si="42"/>
        <v>-1587.8031595202885</v>
      </c>
      <c r="AS19" s="18">
        <f t="shared" si="43"/>
        <v>-2324.1284232013286</v>
      </c>
      <c r="AT19" s="18">
        <f t="shared" si="44"/>
        <v>-2611.7353651295593</v>
      </c>
      <c r="AU19" s="18">
        <f t="shared" si="45"/>
        <v>-2559.2744966472028</v>
      </c>
      <c r="AV19" s="18">
        <f t="shared" si="46"/>
        <v>-2145.0948861476072</v>
      </c>
      <c r="AW19" s="18">
        <f t="shared" si="47"/>
        <v>-1383.4870918389561</v>
      </c>
      <c r="AX19" s="18">
        <f t="shared" si="48"/>
        <v>-392.11698025058899</v>
      </c>
      <c r="AY19" s="18">
        <f t="shared" si="49"/>
        <v>1465.5026124218286</v>
      </c>
      <c r="AZ19" s="18">
        <f t="shared" si="50"/>
        <v>2285.2771858583378</v>
      </c>
      <c r="BA19" s="18">
        <f t="shared" si="51"/>
        <v>2291.647760001073</v>
      </c>
      <c r="BB19" s="18">
        <f t="shared" si="52"/>
        <v>2072.1093575275968</v>
      </c>
      <c r="BC19" s="18">
        <f t="shared" si="53"/>
        <v>1726.1779706005213</v>
      </c>
      <c r="BD19" s="18">
        <f t="shared" si="54"/>
        <v>1607.8099183364905</v>
      </c>
      <c r="BE19" s="18">
        <f t="shared" si="55"/>
        <v>1498.3140178791859</v>
      </c>
      <c r="BF19" s="18">
        <v>31</v>
      </c>
      <c r="BG19" s="18">
        <f t="shared" si="56"/>
        <v>-11820.676035776327</v>
      </c>
      <c r="BH19" s="18">
        <f t="shared" si="57"/>
        <v>362183.63027029089</v>
      </c>
      <c r="BI19" s="18">
        <f t="shared" si="2"/>
        <v>350362.95423451456</v>
      </c>
      <c r="BK19" s="18" t="s">
        <v>4</v>
      </c>
      <c r="BL19" s="17">
        <v>5</v>
      </c>
      <c r="BM19" s="18">
        <f t="shared" si="58"/>
        <v>0</v>
      </c>
      <c r="BN19" s="18">
        <f t="shared" si="59"/>
        <v>0</v>
      </c>
      <c r="BO19" s="18">
        <f t="shared" si="60"/>
        <v>0</v>
      </c>
      <c r="BP19" s="18">
        <f t="shared" si="61"/>
        <v>0</v>
      </c>
      <c r="BQ19" s="18">
        <f t="shared" si="62"/>
        <v>0</v>
      </c>
      <c r="BR19" s="18">
        <f t="shared" si="63"/>
        <v>0</v>
      </c>
      <c r="BS19" s="18">
        <f t="shared" si="64"/>
        <v>0</v>
      </c>
      <c r="BT19" s="18">
        <f t="shared" si="65"/>
        <v>0</v>
      </c>
      <c r="BU19" s="18">
        <f t="shared" si="66"/>
        <v>0</v>
      </c>
      <c r="BV19" s="18">
        <f t="shared" si="67"/>
        <v>582.28679265411085</v>
      </c>
      <c r="BW19" s="18">
        <f t="shared" si="68"/>
        <v>1587.8031595202885</v>
      </c>
      <c r="BX19" s="18">
        <f t="shared" si="69"/>
        <v>2324.1284232013286</v>
      </c>
      <c r="BY19" s="18">
        <f t="shared" si="70"/>
        <v>2611.7353651295593</v>
      </c>
      <c r="BZ19" s="18">
        <f t="shared" si="71"/>
        <v>2559.2744966472028</v>
      </c>
      <c r="CA19" s="18">
        <f t="shared" si="72"/>
        <v>2145.0948861476072</v>
      </c>
      <c r="CB19" s="18">
        <f t="shared" si="73"/>
        <v>1383.4870918389561</v>
      </c>
      <c r="CC19" s="18">
        <f t="shared" si="74"/>
        <v>392.11698025058899</v>
      </c>
      <c r="CD19" s="18">
        <f t="shared" si="75"/>
        <v>0</v>
      </c>
      <c r="CE19" s="18">
        <f t="shared" si="76"/>
        <v>0</v>
      </c>
      <c r="CF19" s="18">
        <f t="shared" si="77"/>
        <v>0</v>
      </c>
      <c r="CG19" s="18">
        <f t="shared" si="78"/>
        <v>0</v>
      </c>
      <c r="CH19" s="18">
        <f t="shared" si="79"/>
        <v>0</v>
      </c>
      <c r="CI19" s="18">
        <f t="shared" si="80"/>
        <v>0</v>
      </c>
      <c r="CJ19" s="18">
        <f t="shared" si="81"/>
        <v>0</v>
      </c>
      <c r="CK19" s="18">
        <v>31</v>
      </c>
      <c r="CL19" s="18">
        <f t="shared" si="82"/>
        <v>300831.24504077062</v>
      </c>
      <c r="CM19" s="18">
        <f t="shared" si="83"/>
        <v>120332.49801630824</v>
      </c>
      <c r="CN19" s="18">
        <f t="shared" si="4"/>
        <v>421163.74305707886</v>
      </c>
    </row>
    <row r="20" spans="1:92" x14ac:dyDescent="0.25">
      <c r="A20" s="17" t="s">
        <v>5</v>
      </c>
      <c r="B20" s="18">
        <v>6</v>
      </c>
      <c r="C20" s="18">
        <f t="shared" si="5"/>
        <v>1495.8969203969668</v>
      </c>
      <c r="D20" s="18">
        <f t="shared" si="6"/>
        <v>1470.6462391325658</v>
      </c>
      <c r="E20" s="18">
        <f t="shared" si="7"/>
        <v>1429.0923435111608</v>
      </c>
      <c r="F20" s="18">
        <f t="shared" si="8"/>
        <v>1426.1378252556647</v>
      </c>
      <c r="G20" s="18">
        <f t="shared" si="9"/>
        <v>1446.4485856466138</v>
      </c>
      <c r="H20" s="18">
        <f t="shared" si="10"/>
        <v>1569.0783726926379</v>
      </c>
      <c r="I20" s="18">
        <f t="shared" si="11"/>
        <v>1732.4498616953892</v>
      </c>
      <c r="J20" s="18">
        <f t="shared" si="12"/>
        <v>1387.7034465507502</v>
      </c>
      <c r="K20" s="18">
        <f t="shared" si="13"/>
        <v>957.1576452093808</v>
      </c>
      <c r="L20" s="18">
        <f t="shared" si="14"/>
        <v>1009.2752490956368</v>
      </c>
      <c r="M20" s="18">
        <f t="shared" si="15"/>
        <v>1017.2838812459381</v>
      </c>
      <c r="N20" s="18">
        <f t="shared" si="16"/>
        <v>987.95176175483221</v>
      </c>
      <c r="O20" s="18">
        <f t="shared" si="17"/>
        <v>972.84107880355771</v>
      </c>
      <c r="P20" s="18">
        <f t="shared" si="18"/>
        <v>958.72042971104349</v>
      </c>
      <c r="Q20" s="18">
        <f t="shared" si="19"/>
        <v>944.87461827402853</v>
      </c>
      <c r="R20" s="18">
        <f t="shared" si="20"/>
        <v>941.25993122579541</v>
      </c>
      <c r="S20" s="18">
        <f t="shared" si="21"/>
        <v>991.99640697757513</v>
      </c>
      <c r="T20" s="18">
        <f t="shared" si="22"/>
        <v>1877.2662092386904</v>
      </c>
      <c r="U20" s="18">
        <f t="shared" si="23"/>
        <v>2266.4498208875402</v>
      </c>
      <c r="V20" s="18">
        <f t="shared" si="24"/>
        <v>2301.1942547194435</v>
      </c>
      <c r="W20" s="18">
        <f t="shared" si="25"/>
        <v>2154.3290371056332</v>
      </c>
      <c r="X20" s="18">
        <f t="shared" si="26"/>
        <v>1791.9867707323365</v>
      </c>
      <c r="Y20" s="18">
        <f t="shared" si="27"/>
        <v>1636.1034003216805</v>
      </c>
      <c r="Z20" s="18">
        <f t="shared" si="28"/>
        <v>1526.696028793089</v>
      </c>
      <c r="AA20" s="18">
        <v>30</v>
      </c>
      <c r="AB20" s="18">
        <f t="shared" si="29"/>
        <v>475637.01303972566</v>
      </c>
      <c r="AC20" s="18">
        <f t="shared" si="30"/>
        <v>553148.19052961282</v>
      </c>
      <c r="AD20" s="18">
        <f t="shared" si="31"/>
        <v>1028785.2035693384</v>
      </c>
      <c r="AF20" s="18" t="s">
        <v>5</v>
      </c>
      <c r="AG20" s="17">
        <v>6</v>
      </c>
      <c r="AH20" s="18">
        <f t="shared" si="32"/>
        <v>1495.8969203969668</v>
      </c>
      <c r="AI20" s="18">
        <f t="shared" si="33"/>
        <v>1470.6462391325658</v>
      </c>
      <c r="AJ20" s="18">
        <f t="shared" si="34"/>
        <v>1429.0923435111608</v>
      </c>
      <c r="AK20" s="18">
        <f t="shared" si="35"/>
        <v>1426.1378252556647</v>
      </c>
      <c r="AL20" s="18">
        <f t="shared" si="36"/>
        <v>1446.4485856466138</v>
      </c>
      <c r="AM20" s="18">
        <f t="shared" si="37"/>
        <v>1569.0783726926379</v>
      </c>
      <c r="AN20" s="18">
        <f t="shared" si="38"/>
        <v>1732.4498616953892</v>
      </c>
      <c r="AO20" s="18">
        <f t="shared" si="39"/>
        <v>1387.7034465507502</v>
      </c>
      <c r="AP20" s="18">
        <f t="shared" si="40"/>
        <v>845.41460520938085</v>
      </c>
      <c r="AQ20" s="18">
        <f t="shared" si="41"/>
        <v>89.03844909563702</v>
      </c>
      <c r="AR20" s="18">
        <f t="shared" si="42"/>
        <v>-1066.3951587540632</v>
      </c>
      <c r="AS20" s="18">
        <f t="shared" si="43"/>
        <v>-1864.7823182451675</v>
      </c>
      <c r="AT20" s="18">
        <f t="shared" si="44"/>
        <v>-2169.1102811964438</v>
      </c>
      <c r="AU20" s="18">
        <f t="shared" si="45"/>
        <v>-2051.7685302889581</v>
      </c>
      <c r="AV20" s="18">
        <f t="shared" si="46"/>
        <v>-1717.2389817259698</v>
      </c>
      <c r="AW20" s="18">
        <f t="shared" si="47"/>
        <v>-1024.1029487742053</v>
      </c>
      <c r="AX20" s="18">
        <f t="shared" si="48"/>
        <v>-33.410313022424134</v>
      </c>
      <c r="AY20" s="18">
        <f t="shared" si="49"/>
        <v>1745.8038092386905</v>
      </c>
      <c r="AZ20" s="18">
        <f t="shared" si="50"/>
        <v>2266.4498208875402</v>
      </c>
      <c r="BA20" s="18">
        <f t="shared" si="51"/>
        <v>2301.1942547194435</v>
      </c>
      <c r="BB20" s="18">
        <f t="shared" si="52"/>
        <v>2154.3290371056332</v>
      </c>
      <c r="BC20" s="18">
        <f t="shared" si="53"/>
        <v>1791.9867707323365</v>
      </c>
      <c r="BD20" s="18">
        <f t="shared" si="54"/>
        <v>1636.1034003216805</v>
      </c>
      <c r="BE20" s="18">
        <f t="shared" si="55"/>
        <v>1526.696028793089</v>
      </c>
      <c r="BF20" s="18">
        <v>30</v>
      </c>
      <c r="BG20" s="18">
        <f t="shared" si="56"/>
        <v>91954.60846829701</v>
      </c>
      <c r="BH20" s="18">
        <f t="shared" si="57"/>
        <v>399675.22870104143</v>
      </c>
      <c r="BI20" s="18">
        <f t="shared" si="2"/>
        <v>491629.83716933843</v>
      </c>
      <c r="BK20" s="18" t="s">
        <v>5</v>
      </c>
      <c r="BL20" s="17">
        <v>6</v>
      </c>
      <c r="BM20" s="18">
        <f t="shared" si="58"/>
        <v>0</v>
      </c>
      <c r="BN20" s="18">
        <f t="shared" si="59"/>
        <v>0</v>
      </c>
      <c r="BO20" s="18">
        <f t="shared" si="60"/>
        <v>0</v>
      </c>
      <c r="BP20" s="18">
        <f t="shared" si="61"/>
        <v>0</v>
      </c>
      <c r="BQ20" s="18">
        <f t="shared" si="62"/>
        <v>0</v>
      </c>
      <c r="BR20" s="18">
        <f t="shared" si="63"/>
        <v>0</v>
      </c>
      <c r="BS20" s="18">
        <f t="shared" si="64"/>
        <v>0</v>
      </c>
      <c r="BT20" s="18">
        <f t="shared" si="65"/>
        <v>0</v>
      </c>
      <c r="BU20" s="18">
        <f t="shared" si="66"/>
        <v>0</v>
      </c>
      <c r="BV20" s="18">
        <f t="shared" si="67"/>
        <v>0</v>
      </c>
      <c r="BW20" s="18">
        <f t="shared" si="68"/>
        <v>1066.3951587540632</v>
      </c>
      <c r="BX20" s="18">
        <f t="shared" si="69"/>
        <v>1864.7823182451675</v>
      </c>
      <c r="BY20" s="18">
        <f t="shared" si="70"/>
        <v>2169.1102811964438</v>
      </c>
      <c r="BZ20" s="18">
        <f t="shared" si="71"/>
        <v>2051.7685302889581</v>
      </c>
      <c r="CA20" s="18">
        <f t="shared" si="72"/>
        <v>1717.2389817259698</v>
      </c>
      <c r="CB20" s="18">
        <f t="shared" si="73"/>
        <v>1024.1029487742053</v>
      </c>
      <c r="CC20" s="18">
        <f t="shared" si="74"/>
        <v>33.410313022424134</v>
      </c>
      <c r="CD20" s="18">
        <f t="shared" si="75"/>
        <v>0</v>
      </c>
      <c r="CE20" s="18">
        <f t="shared" si="76"/>
        <v>0</v>
      </c>
      <c r="CF20" s="18">
        <f t="shared" si="77"/>
        <v>0</v>
      </c>
      <c r="CG20" s="18">
        <f t="shared" si="78"/>
        <v>0</v>
      </c>
      <c r="CH20" s="18">
        <f t="shared" si="79"/>
        <v>0</v>
      </c>
      <c r="CI20" s="18">
        <f t="shared" si="80"/>
        <v>0</v>
      </c>
      <c r="CJ20" s="18">
        <f t="shared" si="81"/>
        <v>0</v>
      </c>
      <c r="CK20" s="18">
        <v>30</v>
      </c>
      <c r="CL20" s="18">
        <f t="shared" si="82"/>
        <v>212717.32568586926</v>
      </c>
      <c r="CM20" s="18">
        <f t="shared" si="83"/>
        <v>85086.930274347716</v>
      </c>
      <c r="CN20" s="18">
        <f t="shared" si="4"/>
        <v>297804.25596021698</v>
      </c>
    </row>
    <row r="21" spans="1:92" x14ac:dyDescent="0.25">
      <c r="A21" s="17" t="s">
        <v>6</v>
      </c>
      <c r="B21" s="18">
        <v>7</v>
      </c>
      <c r="C21" s="18">
        <f t="shared" si="5"/>
        <v>1473.1255029168574</v>
      </c>
      <c r="D21" s="18">
        <f t="shared" si="6"/>
        <v>1463.561046663945</v>
      </c>
      <c r="E21" s="18">
        <f t="shared" si="7"/>
        <v>1420.1292769660429</v>
      </c>
      <c r="F21" s="18">
        <f t="shared" si="8"/>
        <v>1415.9054873735836</v>
      </c>
      <c r="G21" s="18">
        <f t="shared" si="9"/>
        <v>1436.8777741007443</v>
      </c>
      <c r="H21" s="18">
        <f t="shared" si="10"/>
        <v>1555.3515444052132</v>
      </c>
      <c r="I21" s="18">
        <f t="shared" si="11"/>
        <v>1713.6153900902586</v>
      </c>
      <c r="J21" s="18">
        <f t="shared" si="12"/>
        <v>1350.3532225641318</v>
      </c>
      <c r="K21" s="18">
        <f t="shared" si="13"/>
        <v>944.47599804323897</v>
      </c>
      <c r="L21" s="18">
        <f t="shared" si="14"/>
        <v>1004.2820260602253</v>
      </c>
      <c r="M21" s="18">
        <f t="shared" si="15"/>
        <v>1013.2694348244303</v>
      </c>
      <c r="N21" s="18">
        <f t="shared" si="16"/>
        <v>989.91358359229798</v>
      </c>
      <c r="O21" s="18">
        <f t="shared" si="17"/>
        <v>973.17435784018085</v>
      </c>
      <c r="P21" s="18">
        <f t="shared" si="18"/>
        <v>960.04833655336836</v>
      </c>
      <c r="Q21" s="18">
        <f t="shared" si="19"/>
        <v>945.88059546136287</v>
      </c>
      <c r="R21" s="18">
        <f t="shared" si="20"/>
        <v>950.1750108880824</v>
      </c>
      <c r="S21" s="18">
        <f t="shared" si="21"/>
        <v>990.14766175880652</v>
      </c>
      <c r="T21" s="18">
        <f t="shared" si="22"/>
        <v>1737.3149572579439</v>
      </c>
      <c r="U21" s="18">
        <f t="shared" si="23"/>
        <v>2321.7776551805664</v>
      </c>
      <c r="V21" s="18">
        <f t="shared" si="24"/>
        <v>2304.9006900844247</v>
      </c>
      <c r="W21" s="18">
        <f t="shared" si="25"/>
        <v>1970.2405812577181</v>
      </c>
      <c r="X21" s="18">
        <f t="shared" si="26"/>
        <v>1697.4654569416284</v>
      </c>
      <c r="Y21" s="18">
        <f t="shared" si="27"/>
        <v>1583.9976938042623</v>
      </c>
      <c r="Z21" s="18">
        <f t="shared" si="28"/>
        <v>1501.570408079474</v>
      </c>
      <c r="AA21" s="18">
        <v>31</v>
      </c>
      <c r="AB21" s="18">
        <f t="shared" si="29"/>
        <v>481328.52508963767</v>
      </c>
      <c r="AC21" s="18">
        <f t="shared" si="30"/>
        <v>563915.63938433467</v>
      </c>
      <c r="AD21" s="18">
        <f t="shared" si="31"/>
        <v>1045244.1644739724</v>
      </c>
      <c r="AF21" s="18" t="s">
        <v>6</v>
      </c>
      <c r="AG21" s="17">
        <v>7</v>
      </c>
      <c r="AH21" s="18">
        <f t="shared" si="32"/>
        <v>1473.1255029168574</v>
      </c>
      <c r="AI21" s="18">
        <f t="shared" si="33"/>
        <v>1463.561046663945</v>
      </c>
      <c r="AJ21" s="18">
        <f t="shared" si="34"/>
        <v>1420.1292769660429</v>
      </c>
      <c r="AK21" s="18">
        <f t="shared" si="35"/>
        <v>1415.9054873735836</v>
      </c>
      <c r="AL21" s="18">
        <f t="shared" si="36"/>
        <v>1436.8777741007443</v>
      </c>
      <c r="AM21" s="18">
        <f t="shared" si="37"/>
        <v>1555.3515444052132</v>
      </c>
      <c r="AN21" s="18">
        <f t="shared" si="38"/>
        <v>1713.6153900902586</v>
      </c>
      <c r="AO21" s="18">
        <f t="shared" si="39"/>
        <v>1350.3532225641318</v>
      </c>
      <c r="AP21" s="18">
        <f t="shared" si="40"/>
        <v>806.44047804323895</v>
      </c>
      <c r="AQ21" s="18">
        <f t="shared" si="41"/>
        <v>-73.709653939774512</v>
      </c>
      <c r="AR21" s="18">
        <f t="shared" si="42"/>
        <v>-1195.298885175569</v>
      </c>
      <c r="AS21" s="18">
        <f t="shared" si="43"/>
        <v>-2020.5753764077035</v>
      </c>
      <c r="AT21" s="18">
        <f t="shared" si="44"/>
        <v>-2365.9706021598204</v>
      </c>
      <c r="AU21" s="18">
        <f t="shared" si="45"/>
        <v>-2306.7923034466307</v>
      </c>
      <c r="AV21" s="18">
        <f t="shared" si="46"/>
        <v>-1998.8771645386398</v>
      </c>
      <c r="AW21" s="18">
        <f t="shared" si="47"/>
        <v>-1251.8201891119174</v>
      </c>
      <c r="AX21" s="18">
        <f t="shared" si="48"/>
        <v>-396.78065824119278</v>
      </c>
      <c r="AY21" s="18">
        <f t="shared" si="49"/>
        <v>1500.682637257944</v>
      </c>
      <c r="AZ21" s="18">
        <f t="shared" si="50"/>
        <v>2315.2045351805664</v>
      </c>
      <c r="BA21" s="18">
        <f t="shared" si="51"/>
        <v>2304.9006900844247</v>
      </c>
      <c r="BB21" s="18">
        <f t="shared" si="52"/>
        <v>1970.2405812577181</v>
      </c>
      <c r="BC21" s="18">
        <f t="shared" si="53"/>
        <v>1697.4654569416284</v>
      </c>
      <c r="BD21" s="18">
        <f t="shared" si="54"/>
        <v>1583.9976938042623</v>
      </c>
      <c r="BE21" s="18">
        <f t="shared" si="55"/>
        <v>1501.570408079474</v>
      </c>
      <c r="BF21" s="18">
        <v>31</v>
      </c>
      <c r="BG21" s="18">
        <f t="shared" si="56"/>
        <v>42502.33880392334</v>
      </c>
      <c r="BH21" s="18">
        <f t="shared" si="57"/>
        <v>388385.16487004899</v>
      </c>
      <c r="BI21" s="18">
        <f t="shared" si="2"/>
        <v>430887.50367397233</v>
      </c>
      <c r="BK21" s="18" t="s">
        <v>6</v>
      </c>
      <c r="BL21" s="17">
        <v>7</v>
      </c>
      <c r="BM21" s="18">
        <f t="shared" si="58"/>
        <v>0</v>
      </c>
      <c r="BN21" s="18">
        <f t="shared" si="59"/>
        <v>0</v>
      </c>
      <c r="BO21" s="18">
        <f t="shared" si="60"/>
        <v>0</v>
      </c>
      <c r="BP21" s="18">
        <f t="shared" si="61"/>
        <v>0</v>
      </c>
      <c r="BQ21" s="18">
        <f t="shared" si="62"/>
        <v>0</v>
      </c>
      <c r="BR21" s="18">
        <f t="shared" si="63"/>
        <v>0</v>
      </c>
      <c r="BS21" s="18">
        <f t="shared" si="64"/>
        <v>0</v>
      </c>
      <c r="BT21" s="18">
        <f t="shared" si="65"/>
        <v>0</v>
      </c>
      <c r="BU21" s="18">
        <f t="shared" si="66"/>
        <v>0</v>
      </c>
      <c r="BV21" s="18">
        <f t="shared" si="67"/>
        <v>73.709653939774512</v>
      </c>
      <c r="BW21" s="18">
        <f t="shared" si="68"/>
        <v>1195.298885175569</v>
      </c>
      <c r="BX21" s="18">
        <f t="shared" si="69"/>
        <v>2020.5753764077035</v>
      </c>
      <c r="BY21" s="18">
        <f t="shared" si="70"/>
        <v>2365.9706021598204</v>
      </c>
      <c r="BZ21" s="18">
        <f t="shared" si="71"/>
        <v>2306.7923034466307</v>
      </c>
      <c r="CA21" s="18">
        <f t="shared" si="72"/>
        <v>1998.8771645386398</v>
      </c>
      <c r="CB21" s="18">
        <f t="shared" si="73"/>
        <v>1251.8201891119174</v>
      </c>
      <c r="CC21" s="18">
        <f t="shared" si="74"/>
        <v>396.78065824119278</v>
      </c>
      <c r="CD21" s="18">
        <f t="shared" si="75"/>
        <v>0</v>
      </c>
      <c r="CE21" s="18">
        <f t="shared" si="76"/>
        <v>0</v>
      </c>
      <c r="CF21" s="18">
        <f t="shared" si="77"/>
        <v>0</v>
      </c>
      <c r="CG21" s="18">
        <f t="shared" si="78"/>
        <v>0</v>
      </c>
      <c r="CH21" s="18">
        <f t="shared" si="79"/>
        <v>0</v>
      </c>
      <c r="CI21" s="18">
        <f t="shared" si="80"/>
        <v>0</v>
      </c>
      <c r="CJ21" s="18">
        <f t="shared" si="81"/>
        <v>0</v>
      </c>
      <c r="CK21" s="18">
        <v>31</v>
      </c>
      <c r="CL21" s="18">
        <f t="shared" si="82"/>
        <v>257074.69273118474</v>
      </c>
      <c r="CM21" s="18">
        <f t="shared" si="83"/>
        <v>102829.87709247394</v>
      </c>
      <c r="CN21" s="18">
        <f t="shared" si="4"/>
        <v>359904.56982365868</v>
      </c>
    </row>
    <row r="22" spans="1:92" x14ac:dyDescent="0.25">
      <c r="A22" s="17" t="s">
        <v>7</v>
      </c>
      <c r="B22" s="18">
        <v>8</v>
      </c>
      <c r="C22" s="18">
        <f t="shared" si="5"/>
        <v>1475.1362435692504</v>
      </c>
      <c r="D22" s="18">
        <f t="shared" si="6"/>
        <v>1461.5336739443576</v>
      </c>
      <c r="E22" s="18">
        <f t="shared" si="7"/>
        <v>1418.7643938746685</v>
      </c>
      <c r="F22" s="18">
        <f t="shared" si="8"/>
        <v>1418.3844779379635</v>
      </c>
      <c r="G22" s="18">
        <f t="shared" si="9"/>
        <v>1442.7804916251357</v>
      </c>
      <c r="H22" s="18">
        <f t="shared" si="10"/>
        <v>1559.4497295094952</v>
      </c>
      <c r="I22" s="18">
        <f t="shared" si="11"/>
        <v>1675.5758333967531</v>
      </c>
      <c r="J22" s="18">
        <f t="shared" si="12"/>
        <v>988.50227964041596</v>
      </c>
      <c r="K22" s="18">
        <f t="shared" si="13"/>
        <v>929.49513134755421</v>
      </c>
      <c r="L22" s="18">
        <f t="shared" si="14"/>
        <v>989.51102887450793</v>
      </c>
      <c r="M22" s="18">
        <f t="shared" si="15"/>
        <v>1001.3850536533893</v>
      </c>
      <c r="N22" s="18">
        <f t="shared" si="16"/>
        <v>980.42808583480291</v>
      </c>
      <c r="O22" s="18">
        <f t="shared" si="17"/>
        <v>963.75082914581913</v>
      </c>
      <c r="P22" s="18">
        <f t="shared" si="18"/>
        <v>951.42392251643639</v>
      </c>
      <c r="Q22" s="18">
        <f t="shared" si="19"/>
        <v>945.5820595646461</v>
      </c>
      <c r="R22" s="18">
        <f t="shared" si="20"/>
        <v>932.01691831604001</v>
      </c>
      <c r="S22" s="18">
        <f t="shared" si="21"/>
        <v>964.49159946486941</v>
      </c>
      <c r="T22" s="18">
        <f t="shared" si="22"/>
        <v>1232.4035656250496</v>
      </c>
      <c r="U22" s="18">
        <f t="shared" si="23"/>
        <v>2278.1594121147168</v>
      </c>
      <c r="V22" s="18">
        <f t="shared" si="24"/>
        <v>2300.1741504938718</v>
      </c>
      <c r="W22" s="18">
        <f t="shared" si="25"/>
        <v>2005.8531793098759</v>
      </c>
      <c r="X22" s="18">
        <f t="shared" si="26"/>
        <v>1680.5647273099441</v>
      </c>
      <c r="Y22" s="18">
        <f t="shared" si="27"/>
        <v>1588.2605529679106</v>
      </c>
      <c r="Z22" s="18">
        <f t="shared" si="28"/>
        <v>1500.5652439318847</v>
      </c>
      <c r="AA22" s="18">
        <v>31</v>
      </c>
      <c r="AB22" s="18">
        <f t="shared" si="29"/>
        <v>459065.76955826813</v>
      </c>
      <c r="AC22" s="18">
        <f t="shared" si="30"/>
        <v>554144.2005447821</v>
      </c>
      <c r="AD22" s="18">
        <f t="shared" si="31"/>
        <v>1013209.9701030502</v>
      </c>
      <c r="AF22" s="18" t="s">
        <v>7</v>
      </c>
      <c r="AG22" s="17">
        <v>8</v>
      </c>
      <c r="AH22" s="18">
        <f t="shared" si="32"/>
        <v>1475.1362435692504</v>
      </c>
      <c r="AI22" s="18">
        <f t="shared" si="33"/>
        <v>1461.5336739443576</v>
      </c>
      <c r="AJ22" s="18">
        <f t="shared" si="34"/>
        <v>1418.7643938746685</v>
      </c>
      <c r="AK22" s="18">
        <f t="shared" si="35"/>
        <v>1418.3844779379635</v>
      </c>
      <c r="AL22" s="18">
        <f t="shared" si="36"/>
        <v>1442.7804916251357</v>
      </c>
      <c r="AM22" s="18">
        <f t="shared" si="37"/>
        <v>1559.4497295094952</v>
      </c>
      <c r="AN22" s="18">
        <f t="shared" si="38"/>
        <v>1675.5758333967531</v>
      </c>
      <c r="AO22" s="18">
        <f t="shared" si="39"/>
        <v>962.20979964041601</v>
      </c>
      <c r="AP22" s="18">
        <f t="shared" si="40"/>
        <v>535.10793134755443</v>
      </c>
      <c r="AQ22" s="18">
        <f t="shared" si="41"/>
        <v>-726.07329112549337</v>
      </c>
      <c r="AR22" s="18">
        <f t="shared" si="42"/>
        <v>-1752.7522263466103</v>
      </c>
      <c r="AS22" s="18">
        <f t="shared" si="43"/>
        <v>-2444.1674341651988</v>
      </c>
      <c r="AT22" s="18">
        <f t="shared" si="44"/>
        <v>-2730.3426108541807</v>
      </c>
      <c r="AU22" s="18">
        <f t="shared" si="45"/>
        <v>-2722.9501574835613</v>
      </c>
      <c r="AV22" s="18">
        <f t="shared" si="46"/>
        <v>-2360.697300435354</v>
      </c>
      <c r="AW22" s="18">
        <f t="shared" si="47"/>
        <v>-1736.6698016839591</v>
      </c>
      <c r="AX22" s="18">
        <f t="shared" si="48"/>
        <v>-770.81208053512989</v>
      </c>
      <c r="AY22" s="18">
        <f t="shared" si="49"/>
        <v>719.70020562504999</v>
      </c>
      <c r="AZ22" s="18">
        <f t="shared" si="50"/>
        <v>2232.1475721147167</v>
      </c>
      <c r="BA22" s="18">
        <f t="shared" si="51"/>
        <v>2300.1741504938718</v>
      </c>
      <c r="BB22" s="18">
        <f t="shared" si="52"/>
        <v>2005.8531793098759</v>
      </c>
      <c r="BC22" s="18">
        <f t="shared" si="53"/>
        <v>1680.5647273099441</v>
      </c>
      <c r="BD22" s="18">
        <f t="shared" si="54"/>
        <v>1588.2605529679106</v>
      </c>
      <c r="BE22" s="18">
        <f t="shared" si="55"/>
        <v>1500.5652439318847</v>
      </c>
      <c r="BF22" s="18">
        <v>31</v>
      </c>
      <c r="BG22" s="18">
        <f t="shared" si="56"/>
        <v>-71309.893070303282</v>
      </c>
      <c r="BH22" s="18">
        <f t="shared" si="57"/>
        <v>341993.93549335341</v>
      </c>
      <c r="BI22" s="18">
        <f t="shared" si="2"/>
        <v>270684.04242305015</v>
      </c>
      <c r="BK22" s="18" t="s">
        <v>7</v>
      </c>
      <c r="BL22" s="17">
        <v>8</v>
      </c>
      <c r="BM22" s="18">
        <f t="shared" si="58"/>
        <v>0</v>
      </c>
      <c r="BN22" s="18">
        <f t="shared" si="59"/>
        <v>0</v>
      </c>
      <c r="BO22" s="18">
        <f t="shared" si="60"/>
        <v>0</v>
      </c>
      <c r="BP22" s="18">
        <f t="shared" si="61"/>
        <v>0</v>
      </c>
      <c r="BQ22" s="18">
        <f t="shared" si="62"/>
        <v>0</v>
      </c>
      <c r="BR22" s="18">
        <f t="shared" si="63"/>
        <v>0</v>
      </c>
      <c r="BS22" s="18">
        <f t="shared" si="64"/>
        <v>0</v>
      </c>
      <c r="BT22" s="18">
        <f t="shared" si="65"/>
        <v>0</v>
      </c>
      <c r="BU22" s="18">
        <f t="shared" si="66"/>
        <v>0</v>
      </c>
      <c r="BV22" s="18">
        <f t="shared" si="67"/>
        <v>726.07329112549337</v>
      </c>
      <c r="BW22" s="18">
        <f t="shared" si="68"/>
        <v>1752.7522263466103</v>
      </c>
      <c r="BX22" s="18">
        <f t="shared" si="69"/>
        <v>2444.1674341651988</v>
      </c>
      <c r="BY22" s="18">
        <f t="shared" si="70"/>
        <v>2730.3426108541807</v>
      </c>
      <c r="BZ22" s="18">
        <f t="shared" si="71"/>
        <v>2722.9501574835613</v>
      </c>
      <c r="CA22" s="18">
        <f t="shared" si="72"/>
        <v>2360.697300435354</v>
      </c>
      <c r="CB22" s="18">
        <f t="shared" si="73"/>
        <v>1736.6698016839591</v>
      </c>
      <c r="CC22" s="18">
        <f t="shared" si="74"/>
        <v>770.81208053512989</v>
      </c>
      <c r="CD22" s="18">
        <f t="shared" si="75"/>
        <v>0</v>
      </c>
      <c r="CE22" s="18">
        <f t="shared" si="76"/>
        <v>0</v>
      </c>
      <c r="CF22" s="18">
        <f t="shared" si="77"/>
        <v>0</v>
      </c>
      <c r="CG22" s="18">
        <f t="shared" si="78"/>
        <v>0</v>
      </c>
      <c r="CH22" s="18">
        <f t="shared" si="79"/>
        <v>0</v>
      </c>
      <c r="CI22" s="18">
        <f t="shared" si="80"/>
        <v>0</v>
      </c>
      <c r="CJ22" s="18">
        <f t="shared" si="81"/>
        <v>0</v>
      </c>
      <c r="CK22" s="18">
        <v>31</v>
      </c>
      <c r="CL22" s="18">
        <f t="shared" si="82"/>
        <v>337556.0085582243</v>
      </c>
      <c r="CM22" s="18">
        <f t="shared" si="83"/>
        <v>135022.40342328971</v>
      </c>
      <c r="CN22" s="18">
        <f t="shared" si="4"/>
        <v>472578.41198151401</v>
      </c>
    </row>
    <row r="23" spans="1:92" x14ac:dyDescent="0.25">
      <c r="A23" s="17" t="s">
        <v>8</v>
      </c>
      <c r="B23" s="18">
        <v>9</v>
      </c>
      <c r="C23" s="18">
        <f t="shared" si="5"/>
        <v>1467.9988706951333</v>
      </c>
      <c r="D23" s="18">
        <f t="shared" si="6"/>
        <v>1441.9558403604269</v>
      </c>
      <c r="E23" s="18">
        <f t="shared" si="7"/>
        <v>1397.9322433144662</v>
      </c>
      <c r="F23" s="18">
        <f t="shared" si="8"/>
        <v>1397.5599104096782</v>
      </c>
      <c r="G23" s="18">
        <f t="shared" si="9"/>
        <v>1421.0678607144027</v>
      </c>
      <c r="H23" s="18">
        <f t="shared" si="10"/>
        <v>1530.1032097276877</v>
      </c>
      <c r="I23" s="18">
        <f t="shared" si="11"/>
        <v>1030.2772441963764</v>
      </c>
      <c r="J23" s="18">
        <f t="shared" si="12"/>
        <v>811.15341292350195</v>
      </c>
      <c r="K23" s="18">
        <f t="shared" si="13"/>
        <v>851.99560478828039</v>
      </c>
      <c r="L23" s="18">
        <f t="shared" si="14"/>
        <v>906.13372091090935</v>
      </c>
      <c r="M23" s="18">
        <f t="shared" si="15"/>
        <v>920.49816869433153</v>
      </c>
      <c r="N23" s="18">
        <f t="shared" si="16"/>
        <v>904.84479652246682</v>
      </c>
      <c r="O23" s="18">
        <f t="shared" si="17"/>
        <v>902.24785652917467</v>
      </c>
      <c r="P23" s="18">
        <f t="shared" si="18"/>
        <v>894.62562451394103</v>
      </c>
      <c r="Q23" s="18">
        <f t="shared" si="19"/>
        <v>884.29671449508032</v>
      </c>
      <c r="R23" s="18">
        <f t="shared" si="20"/>
        <v>885.16888852525813</v>
      </c>
      <c r="S23" s="18">
        <f t="shared" si="21"/>
        <v>887.94505594170846</v>
      </c>
      <c r="T23" s="18">
        <f t="shared" si="22"/>
        <v>890.0247219360823</v>
      </c>
      <c r="U23" s="18">
        <f t="shared" si="23"/>
        <v>1728.3891970676018</v>
      </c>
      <c r="V23" s="18">
        <f t="shared" si="24"/>
        <v>1922.5544281119842</v>
      </c>
      <c r="W23" s="18">
        <f t="shared" si="25"/>
        <v>1814.4597241895262</v>
      </c>
      <c r="X23" s="18">
        <f t="shared" si="26"/>
        <v>1589.5507883677537</v>
      </c>
      <c r="Y23" s="18">
        <f t="shared" si="27"/>
        <v>1515.8058390687295</v>
      </c>
      <c r="Z23" s="18">
        <f t="shared" si="28"/>
        <v>1492.3635927435166</v>
      </c>
      <c r="AA23" s="18">
        <v>30</v>
      </c>
      <c r="AB23" s="18">
        <f t="shared" si="29"/>
        <v>392350.59734113567</v>
      </c>
      <c r="AC23" s="18">
        <f t="shared" si="30"/>
        <v>492318.002101305</v>
      </c>
      <c r="AD23" s="18">
        <f t="shared" si="31"/>
        <v>884668.59944244067</v>
      </c>
      <c r="AF23" s="18" t="s">
        <v>8</v>
      </c>
      <c r="AG23" s="17">
        <v>9</v>
      </c>
      <c r="AH23" s="18">
        <f t="shared" si="32"/>
        <v>1467.9988706951333</v>
      </c>
      <c r="AI23" s="18">
        <f t="shared" si="33"/>
        <v>1441.9558403604269</v>
      </c>
      <c r="AJ23" s="18">
        <f t="shared" si="34"/>
        <v>1397.9322433144662</v>
      </c>
      <c r="AK23" s="18">
        <f t="shared" si="35"/>
        <v>1397.5599104096782</v>
      </c>
      <c r="AL23" s="18">
        <f t="shared" si="36"/>
        <v>1421.0678607144027</v>
      </c>
      <c r="AM23" s="18">
        <f t="shared" si="37"/>
        <v>1530.1032097276877</v>
      </c>
      <c r="AN23" s="18">
        <f t="shared" si="38"/>
        <v>1023.7041241963764</v>
      </c>
      <c r="AO23" s="18">
        <f t="shared" si="39"/>
        <v>627.10605292350181</v>
      </c>
      <c r="AP23" s="18">
        <f t="shared" si="40"/>
        <v>-364.0315952117196</v>
      </c>
      <c r="AQ23" s="18">
        <f t="shared" si="41"/>
        <v>-1401.0313990890895</v>
      </c>
      <c r="AR23" s="18">
        <f t="shared" si="42"/>
        <v>-2293.7575113056701</v>
      </c>
      <c r="AS23" s="18">
        <f t="shared" si="43"/>
        <v>-2933.857283477535</v>
      </c>
      <c r="AT23" s="18">
        <f t="shared" si="44"/>
        <v>-3324.2683034708252</v>
      </c>
      <c r="AU23" s="18">
        <f t="shared" si="45"/>
        <v>-3345.036775486059</v>
      </c>
      <c r="AV23" s="18">
        <f t="shared" si="46"/>
        <v>-2980.697845504922</v>
      </c>
      <c r="AW23" s="18">
        <f t="shared" si="47"/>
        <v>-2283.0749514747413</v>
      </c>
      <c r="AX23" s="18">
        <f t="shared" si="48"/>
        <v>-1333.7695040582919</v>
      </c>
      <c r="AY23" s="18">
        <f t="shared" si="49"/>
        <v>-266.84439806391731</v>
      </c>
      <c r="AZ23" s="18">
        <f t="shared" si="50"/>
        <v>1583.7805570676019</v>
      </c>
      <c r="BA23" s="18">
        <f t="shared" si="51"/>
        <v>1922.5544281119842</v>
      </c>
      <c r="BB23" s="18">
        <f t="shared" si="52"/>
        <v>1814.4597241895262</v>
      </c>
      <c r="BC23" s="18">
        <f t="shared" si="53"/>
        <v>1589.5507883677537</v>
      </c>
      <c r="BD23" s="18">
        <f t="shared" si="54"/>
        <v>1515.8058390687295</v>
      </c>
      <c r="BE23" s="18">
        <f t="shared" si="55"/>
        <v>1492.3635927435166</v>
      </c>
      <c r="BF23" s="18">
        <v>30</v>
      </c>
      <c r="BG23" s="18">
        <f t="shared" si="56"/>
        <v>-245852.40380172152</v>
      </c>
      <c r="BH23" s="18">
        <f t="shared" si="57"/>
        <v>236839.60804416199</v>
      </c>
      <c r="BI23" s="18">
        <f t="shared" si="2"/>
        <v>-9012.795757559541</v>
      </c>
      <c r="BK23" s="18" t="s">
        <v>8</v>
      </c>
      <c r="BL23" s="17">
        <v>9</v>
      </c>
      <c r="BM23" s="18">
        <f t="shared" si="58"/>
        <v>0</v>
      </c>
      <c r="BN23" s="18">
        <f t="shared" si="59"/>
        <v>0</v>
      </c>
      <c r="BO23" s="18">
        <f t="shared" si="60"/>
        <v>0</v>
      </c>
      <c r="BP23" s="18">
        <f t="shared" si="61"/>
        <v>0</v>
      </c>
      <c r="BQ23" s="18">
        <f t="shared" si="62"/>
        <v>0</v>
      </c>
      <c r="BR23" s="18">
        <f t="shared" si="63"/>
        <v>0</v>
      </c>
      <c r="BS23" s="18">
        <f t="shared" si="64"/>
        <v>0</v>
      </c>
      <c r="BT23" s="18">
        <f t="shared" si="65"/>
        <v>0</v>
      </c>
      <c r="BU23" s="18">
        <f t="shared" si="66"/>
        <v>364.0315952117196</v>
      </c>
      <c r="BV23" s="18">
        <f t="shared" si="67"/>
        <v>1401.0313990890895</v>
      </c>
      <c r="BW23" s="18">
        <f t="shared" si="68"/>
        <v>2293.7575113056701</v>
      </c>
      <c r="BX23" s="18">
        <f t="shared" si="69"/>
        <v>2933.857283477535</v>
      </c>
      <c r="BY23" s="18">
        <f t="shared" si="70"/>
        <v>3324.2683034708252</v>
      </c>
      <c r="BZ23" s="18">
        <f t="shared" si="71"/>
        <v>3345.036775486059</v>
      </c>
      <c r="CA23" s="18">
        <f t="shared" si="72"/>
        <v>2980.697845504922</v>
      </c>
      <c r="CB23" s="18">
        <f t="shared" si="73"/>
        <v>2283.0749514747413</v>
      </c>
      <c r="CC23" s="18">
        <f t="shared" si="74"/>
        <v>1333.7695040582919</v>
      </c>
      <c r="CD23" s="18">
        <f t="shared" si="75"/>
        <v>266.84439806391731</v>
      </c>
      <c r="CE23" s="18">
        <f t="shared" si="76"/>
        <v>0</v>
      </c>
      <c r="CF23" s="18">
        <f t="shared" si="77"/>
        <v>0</v>
      </c>
      <c r="CG23" s="18">
        <f t="shared" si="78"/>
        <v>0</v>
      </c>
      <c r="CH23" s="18">
        <f t="shared" si="79"/>
        <v>0</v>
      </c>
      <c r="CI23" s="18">
        <f t="shared" si="80"/>
        <v>0</v>
      </c>
      <c r="CJ23" s="18">
        <f t="shared" si="81"/>
        <v>0</v>
      </c>
      <c r="CK23" s="18">
        <v>30</v>
      </c>
      <c r="CL23" s="18">
        <f t="shared" si="82"/>
        <v>439850.77643877361</v>
      </c>
      <c r="CM23" s="18">
        <f t="shared" si="83"/>
        <v>175940.31057550944</v>
      </c>
      <c r="CN23" s="18">
        <f t="shared" si="4"/>
        <v>615791.08701428305</v>
      </c>
    </row>
    <row r="24" spans="1:92" x14ac:dyDescent="0.25">
      <c r="A24" s="17" t="s">
        <v>9</v>
      </c>
      <c r="B24" s="18">
        <v>10</v>
      </c>
      <c r="C24" s="18">
        <f t="shared" si="5"/>
        <v>1467.4199702950368</v>
      </c>
      <c r="D24" s="18">
        <f t="shared" si="6"/>
        <v>1428.5238461799449</v>
      </c>
      <c r="E24" s="18">
        <f t="shared" si="7"/>
        <v>1424.1487922659096</v>
      </c>
      <c r="F24" s="18">
        <f t="shared" si="8"/>
        <v>1448.2442144077806</v>
      </c>
      <c r="G24" s="18">
        <f t="shared" si="9"/>
        <v>1536.872615941121</v>
      </c>
      <c r="H24" s="18">
        <f t="shared" si="10"/>
        <v>1240.834490487847</v>
      </c>
      <c r="I24" s="18">
        <f t="shared" si="11"/>
        <v>800.03292792826392</v>
      </c>
      <c r="J24" s="18">
        <f t="shared" si="12"/>
        <v>849.96364094686498</v>
      </c>
      <c r="K24" s="18">
        <f t="shared" si="13"/>
        <v>913.05178904237437</v>
      </c>
      <c r="L24" s="18">
        <f t="shared" si="14"/>
        <v>937.3770234639411</v>
      </c>
      <c r="M24" s="18">
        <f t="shared" si="15"/>
        <v>931.73961276424268</v>
      </c>
      <c r="N24" s="18">
        <f t="shared" si="16"/>
        <v>929.10239301056083</v>
      </c>
      <c r="O24" s="18">
        <f t="shared" si="17"/>
        <v>932.34524266851736</v>
      </c>
      <c r="P24" s="18">
        <f t="shared" si="18"/>
        <v>930.85684993989003</v>
      </c>
      <c r="Q24" s="18">
        <f t="shared" si="19"/>
        <v>914.5584142203943</v>
      </c>
      <c r="R24" s="18">
        <f t="shared" si="20"/>
        <v>897.87649617866612</v>
      </c>
      <c r="S24" s="18">
        <f t="shared" si="21"/>
        <v>869.57259526474854</v>
      </c>
      <c r="T24" s="18">
        <f t="shared" si="22"/>
        <v>918.44434923624692</v>
      </c>
      <c r="U24" s="18">
        <f t="shared" si="23"/>
        <v>1415.6413000741879</v>
      </c>
      <c r="V24" s="18">
        <f t="shared" si="24"/>
        <v>1923.2387685858926</v>
      </c>
      <c r="W24" s="18">
        <f t="shared" si="25"/>
        <v>1676.5056613765598</v>
      </c>
      <c r="X24" s="18">
        <f t="shared" si="26"/>
        <v>1537.4083608993969</v>
      </c>
      <c r="Y24" s="18">
        <f t="shared" si="27"/>
        <v>1516.8042639590735</v>
      </c>
      <c r="Z24" s="18">
        <f t="shared" si="28"/>
        <v>1499.7648285516054</v>
      </c>
      <c r="AA24" s="18">
        <v>31</v>
      </c>
      <c r="AB24" s="18">
        <f t="shared" si="29"/>
        <v>400663.63543612737</v>
      </c>
      <c r="AC24" s="18">
        <f t="shared" si="30"/>
        <v>496486.54644223367</v>
      </c>
      <c r="AD24" s="18">
        <f t="shared" si="31"/>
        <v>897150.18187836104</v>
      </c>
      <c r="AF24" s="18" t="s">
        <v>9</v>
      </c>
      <c r="AG24" s="17">
        <v>10</v>
      </c>
      <c r="AH24" s="18">
        <f t="shared" si="32"/>
        <v>1467.4199702950368</v>
      </c>
      <c r="AI24" s="18">
        <f t="shared" si="33"/>
        <v>1428.5238461799449</v>
      </c>
      <c r="AJ24" s="18">
        <f t="shared" si="34"/>
        <v>1424.1487922659096</v>
      </c>
      <c r="AK24" s="18">
        <f t="shared" si="35"/>
        <v>1448.2442144077806</v>
      </c>
      <c r="AL24" s="18">
        <f t="shared" si="36"/>
        <v>1536.872615941121</v>
      </c>
      <c r="AM24" s="18">
        <f t="shared" si="37"/>
        <v>1240.834490487847</v>
      </c>
      <c r="AN24" s="18">
        <f t="shared" si="38"/>
        <v>721.15548792826394</v>
      </c>
      <c r="AO24" s="18">
        <f t="shared" si="39"/>
        <v>172.93228094686447</v>
      </c>
      <c r="AP24" s="18">
        <f t="shared" si="40"/>
        <v>-841.97125095762567</v>
      </c>
      <c r="AQ24" s="18">
        <f t="shared" si="41"/>
        <v>-1882.4914565360596</v>
      </c>
      <c r="AR24" s="18">
        <f t="shared" si="42"/>
        <v>-2775.5000672357564</v>
      </c>
      <c r="AS24" s="18">
        <f t="shared" si="43"/>
        <v>-3501.1804869894399</v>
      </c>
      <c r="AT24" s="18">
        <f t="shared" si="44"/>
        <v>-3820.0205173314853</v>
      </c>
      <c r="AU24" s="18">
        <f t="shared" si="45"/>
        <v>-3788.6433100601071</v>
      </c>
      <c r="AV24" s="18">
        <f t="shared" si="46"/>
        <v>-3403.9814257796052</v>
      </c>
      <c r="AW24" s="18">
        <f t="shared" si="47"/>
        <v>-2631.8889438213359</v>
      </c>
      <c r="AX24" s="18">
        <f t="shared" si="48"/>
        <v>-1661.0786047352508</v>
      </c>
      <c r="AY24" s="18">
        <f t="shared" si="49"/>
        <v>-521.06893076375252</v>
      </c>
      <c r="AZ24" s="18">
        <f t="shared" si="50"/>
        <v>1093.558420074188</v>
      </c>
      <c r="BA24" s="18">
        <f t="shared" si="51"/>
        <v>1890.3731685858925</v>
      </c>
      <c r="BB24" s="18">
        <f t="shared" si="52"/>
        <v>1676.5056613765598</v>
      </c>
      <c r="BC24" s="18">
        <f t="shared" si="53"/>
        <v>1537.4083608993969</v>
      </c>
      <c r="BD24" s="18">
        <f t="shared" si="54"/>
        <v>1516.8042639590735</v>
      </c>
      <c r="BE24" s="18">
        <f t="shared" si="55"/>
        <v>1499.7648285516054</v>
      </c>
      <c r="BF24" s="18">
        <v>31</v>
      </c>
      <c r="BG24" s="18">
        <f t="shared" si="56"/>
        <v>-375105.37713530136</v>
      </c>
      <c r="BH24" s="18">
        <f t="shared" si="57"/>
        <v>183733.74077366246</v>
      </c>
      <c r="BI24" s="18">
        <f t="shared" si="2"/>
        <v>-191371.6363616389</v>
      </c>
      <c r="BK24" s="18" t="s">
        <v>9</v>
      </c>
      <c r="BL24" s="17">
        <v>10</v>
      </c>
      <c r="BM24" s="18">
        <f t="shared" si="58"/>
        <v>0</v>
      </c>
      <c r="BN24" s="18">
        <f t="shared" si="59"/>
        <v>0</v>
      </c>
      <c r="BO24" s="18">
        <f t="shared" si="60"/>
        <v>0</v>
      </c>
      <c r="BP24" s="18">
        <f t="shared" si="61"/>
        <v>0</v>
      </c>
      <c r="BQ24" s="18">
        <f t="shared" si="62"/>
        <v>0</v>
      </c>
      <c r="BR24" s="18">
        <f t="shared" si="63"/>
        <v>0</v>
      </c>
      <c r="BS24" s="18">
        <f t="shared" si="64"/>
        <v>0</v>
      </c>
      <c r="BT24" s="18">
        <f t="shared" si="65"/>
        <v>0</v>
      </c>
      <c r="BU24" s="18">
        <f t="shared" si="66"/>
        <v>841.97125095762567</v>
      </c>
      <c r="BV24" s="18">
        <f t="shared" si="67"/>
        <v>1882.4914565360596</v>
      </c>
      <c r="BW24" s="18">
        <f t="shared" si="68"/>
        <v>2775.5000672357564</v>
      </c>
      <c r="BX24" s="18">
        <f t="shared" si="69"/>
        <v>3501.1804869894399</v>
      </c>
      <c r="BY24" s="18">
        <f t="shared" si="70"/>
        <v>3820.0205173314853</v>
      </c>
      <c r="BZ24" s="18">
        <f t="shared" si="71"/>
        <v>3788.6433100601071</v>
      </c>
      <c r="CA24" s="18">
        <f t="shared" si="72"/>
        <v>3403.9814257796052</v>
      </c>
      <c r="CB24" s="18">
        <f t="shared" si="73"/>
        <v>2631.8889438213359</v>
      </c>
      <c r="CC24" s="18">
        <f t="shared" si="74"/>
        <v>1661.0786047352508</v>
      </c>
      <c r="CD24" s="18">
        <f t="shared" si="75"/>
        <v>521.06893076375252</v>
      </c>
      <c r="CE24" s="18">
        <f t="shared" si="76"/>
        <v>0</v>
      </c>
      <c r="CF24" s="18">
        <f t="shared" si="77"/>
        <v>0</v>
      </c>
      <c r="CG24" s="18">
        <f t="shared" si="78"/>
        <v>0</v>
      </c>
      <c r="CH24" s="18">
        <f t="shared" si="79"/>
        <v>0</v>
      </c>
      <c r="CI24" s="18">
        <f t="shared" si="80"/>
        <v>0</v>
      </c>
      <c r="CJ24" s="18">
        <f t="shared" si="81"/>
        <v>0</v>
      </c>
      <c r="CK24" s="18">
        <v>31</v>
      </c>
      <c r="CL24" s="18">
        <f t="shared" si="82"/>
        <v>549758.98201465933</v>
      </c>
      <c r="CM24" s="18">
        <f t="shared" si="83"/>
        <v>219903.59280586371</v>
      </c>
      <c r="CN24" s="18">
        <f t="shared" si="4"/>
        <v>769662.57482052303</v>
      </c>
    </row>
    <row r="25" spans="1:92" x14ac:dyDescent="0.25">
      <c r="A25" s="17" t="s">
        <v>10</v>
      </c>
      <c r="B25" s="18">
        <v>11</v>
      </c>
      <c r="C25" s="18">
        <f t="shared" si="5"/>
        <v>1476.231964087712</v>
      </c>
      <c r="D25" s="18">
        <f t="shared" si="6"/>
        <v>1433.1980758727072</v>
      </c>
      <c r="E25" s="18">
        <f t="shared" si="7"/>
        <v>1419.0237268741294</v>
      </c>
      <c r="F25" s="18">
        <f t="shared" si="8"/>
        <v>1443.0965016356226</v>
      </c>
      <c r="G25" s="18">
        <f t="shared" si="9"/>
        <v>1479.5263758145261</v>
      </c>
      <c r="H25" s="18">
        <f t="shared" si="10"/>
        <v>761.23236007988783</v>
      </c>
      <c r="I25" s="18">
        <f t="shared" si="11"/>
        <v>776.38018704523654</v>
      </c>
      <c r="J25" s="18">
        <f t="shared" si="12"/>
        <v>831.91055805746828</v>
      </c>
      <c r="K25" s="18">
        <f t="shared" si="13"/>
        <v>904.35013115061508</v>
      </c>
      <c r="L25" s="18">
        <f t="shared" si="14"/>
        <v>945.77089754975282</v>
      </c>
      <c r="M25" s="18">
        <f t="shared" si="15"/>
        <v>950.54087623727355</v>
      </c>
      <c r="N25" s="18">
        <f t="shared" si="16"/>
        <v>955.24331807732096</v>
      </c>
      <c r="O25" s="18">
        <f t="shared" si="17"/>
        <v>966.22737929108325</v>
      </c>
      <c r="P25" s="18">
        <f t="shared" si="18"/>
        <v>972.76961750730607</v>
      </c>
      <c r="Q25" s="18">
        <f t="shared" si="19"/>
        <v>961.2757062903429</v>
      </c>
      <c r="R25" s="18">
        <f t="shared" si="20"/>
        <v>952.10423907162101</v>
      </c>
      <c r="S25" s="18">
        <f t="shared" si="21"/>
        <v>905.09766415970671</v>
      </c>
      <c r="T25" s="18">
        <f t="shared" si="22"/>
        <v>863.34752958895024</v>
      </c>
      <c r="U25" s="18">
        <f t="shared" si="23"/>
        <v>846.50282115269681</v>
      </c>
      <c r="V25" s="18">
        <f t="shared" si="24"/>
        <v>1543.079461817355</v>
      </c>
      <c r="W25" s="18">
        <f t="shared" si="25"/>
        <v>1572.4732861174562</v>
      </c>
      <c r="X25" s="18">
        <f t="shared" si="26"/>
        <v>1555.9543982670316</v>
      </c>
      <c r="Y25" s="18">
        <f t="shared" si="27"/>
        <v>1533.3470155633436</v>
      </c>
      <c r="Z25" s="18">
        <f t="shared" si="28"/>
        <v>1512.7691095821224</v>
      </c>
      <c r="AA25" s="18">
        <v>30</v>
      </c>
      <c r="AB25" s="18">
        <f t="shared" si="29"/>
        <v>369857.03356927121</v>
      </c>
      <c r="AC25" s="18">
        <f t="shared" si="30"/>
        <v>456986.56245746696</v>
      </c>
      <c r="AD25" s="18">
        <f t="shared" si="31"/>
        <v>826843.59602673817</v>
      </c>
      <c r="AF25" s="18" t="s">
        <v>10</v>
      </c>
      <c r="AG25" s="17">
        <v>11</v>
      </c>
      <c r="AH25" s="18">
        <f t="shared" si="32"/>
        <v>1476.231964087712</v>
      </c>
      <c r="AI25" s="18">
        <f t="shared" si="33"/>
        <v>1433.1980758727072</v>
      </c>
      <c r="AJ25" s="18">
        <f t="shared" si="34"/>
        <v>1419.0237268741294</v>
      </c>
      <c r="AK25" s="18">
        <f t="shared" si="35"/>
        <v>1443.0965016356226</v>
      </c>
      <c r="AL25" s="18">
        <f t="shared" si="36"/>
        <v>1479.5263758145261</v>
      </c>
      <c r="AM25" s="18">
        <f t="shared" si="37"/>
        <v>748.08612007988779</v>
      </c>
      <c r="AN25" s="18">
        <f t="shared" si="38"/>
        <v>539.7478670452366</v>
      </c>
      <c r="AO25" s="18">
        <f t="shared" si="39"/>
        <v>-101.47248194253211</v>
      </c>
      <c r="AP25" s="18">
        <f t="shared" si="40"/>
        <v>-1008.4277888493851</v>
      </c>
      <c r="AQ25" s="18">
        <f t="shared" si="41"/>
        <v>-1952.9750224502479</v>
      </c>
      <c r="AR25" s="18">
        <f t="shared" si="42"/>
        <v>-2848.7224837627246</v>
      </c>
      <c r="AS25" s="18">
        <f t="shared" si="43"/>
        <v>-3659.0869219226765</v>
      </c>
      <c r="AT25" s="18">
        <f t="shared" si="44"/>
        <v>-4121.3675007089187</v>
      </c>
      <c r="AU25" s="18">
        <f t="shared" si="45"/>
        <v>-4121.3983824926963</v>
      </c>
      <c r="AV25" s="18">
        <f t="shared" si="46"/>
        <v>-3653.0545337096546</v>
      </c>
      <c r="AW25" s="18">
        <f t="shared" si="47"/>
        <v>-2847.159120928377</v>
      </c>
      <c r="AX25" s="18">
        <f t="shared" si="48"/>
        <v>-1895.0514558402947</v>
      </c>
      <c r="AY25" s="18">
        <f t="shared" si="49"/>
        <v>-799.65183041105092</v>
      </c>
      <c r="AZ25" s="18">
        <f t="shared" si="50"/>
        <v>215.48330115269664</v>
      </c>
      <c r="BA25" s="18">
        <f t="shared" si="51"/>
        <v>1431.3364218173549</v>
      </c>
      <c r="BB25" s="18">
        <f t="shared" si="52"/>
        <v>1572.4732861174562</v>
      </c>
      <c r="BC25" s="18">
        <f t="shared" si="53"/>
        <v>1555.9543982670316</v>
      </c>
      <c r="BD25" s="18">
        <f t="shared" si="54"/>
        <v>1533.3470155633436</v>
      </c>
      <c r="BE25" s="18">
        <f t="shared" si="55"/>
        <v>1512.7691095821224</v>
      </c>
      <c r="BF25" s="18">
        <v>30</v>
      </c>
      <c r="BG25" s="18">
        <f t="shared" si="56"/>
        <v>-443566.56643072871</v>
      </c>
      <c r="BH25" s="18">
        <f t="shared" si="57"/>
        <v>124123.76565746689</v>
      </c>
      <c r="BI25" s="18">
        <f t="shared" si="2"/>
        <v>-319442.80077326181</v>
      </c>
      <c r="BK25" s="18" t="s">
        <v>10</v>
      </c>
      <c r="BL25" s="17">
        <v>11</v>
      </c>
      <c r="BM25" s="18">
        <f t="shared" si="58"/>
        <v>0</v>
      </c>
      <c r="BN25" s="18">
        <f t="shared" si="59"/>
        <v>0</v>
      </c>
      <c r="BO25" s="18">
        <f t="shared" si="60"/>
        <v>0</v>
      </c>
      <c r="BP25" s="18">
        <f t="shared" si="61"/>
        <v>0</v>
      </c>
      <c r="BQ25" s="18">
        <f t="shared" si="62"/>
        <v>0</v>
      </c>
      <c r="BR25" s="18">
        <f t="shared" si="63"/>
        <v>0</v>
      </c>
      <c r="BS25" s="18">
        <f t="shared" si="64"/>
        <v>0</v>
      </c>
      <c r="BT25" s="18">
        <f t="shared" si="65"/>
        <v>101.47248194253211</v>
      </c>
      <c r="BU25" s="18">
        <f t="shared" si="66"/>
        <v>1008.4277888493851</v>
      </c>
      <c r="BV25" s="18">
        <f t="shared" si="67"/>
        <v>1952.9750224502479</v>
      </c>
      <c r="BW25" s="18">
        <f t="shared" si="68"/>
        <v>2848.7224837627246</v>
      </c>
      <c r="BX25" s="18">
        <f t="shared" si="69"/>
        <v>3659.0869219226765</v>
      </c>
      <c r="BY25" s="18">
        <f t="shared" si="70"/>
        <v>4121.3675007089187</v>
      </c>
      <c r="BZ25" s="18">
        <f t="shared" si="71"/>
        <v>4121.3983824926963</v>
      </c>
      <c r="CA25" s="18">
        <f t="shared" si="72"/>
        <v>3653.0545337096546</v>
      </c>
      <c r="CB25" s="18">
        <f t="shared" si="73"/>
        <v>2847.159120928377</v>
      </c>
      <c r="CC25" s="18">
        <f t="shared" si="74"/>
        <v>1895.0514558402947</v>
      </c>
      <c r="CD25" s="18">
        <f t="shared" si="75"/>
        <v>799.65183041105092</v>
      </c>
      <c r="CE25" s="18">
        <f t="shared" si="76"/>
        <v>0</v>
      </c>
      <c r="CF25" s="18">
        <f t="shared" si="77"/>
        <v>0</v>
      </c>
      <c r="CG25" s="18">
        <f t="shared" si="78"/>
        <v>0</v>
      </c>
      <c r="CH25" s="18">
        <f t="shared" si="79"/>
        <v>0</v>
      </c>
      <c r="CI25" s="18">
        <f t="shared" si="80"/>
        <v>0</v>
      </c>
      <c r="CJ25" s="18">
        <f t="shared" si="81"/>
        <v>0</v>
      </c>
      <c r="CK25" s="18">
        <v>30</v>
      </c>
      <c r="CL25" s="18">
        <f t="shared" si="82"/>
        <v>578750.7326361119</v>
      </c>
      <c r="CM25" s="18">
        <f t="shared" si="83"/>
        <v>231500.29305444483</v>
      </c>
      <c r="CN25" s="18">
        <f t="shared" si="4"/>
        <v>810251.02569055674</v>
      </c>
    </row>
    <row r="26" spans="1:92" x14ac:dyDescent="0.25">
      <c r="A26" s="17" t="s">
        <v>11</v>
      </c>
      <c r="B26" s="18">
        <v>12</v>
      </c>
      <c r="C26" s="18">
        <f t="shared" si="5"/>
        <v>1491.1924207084592</v>
      </c>
      <c r="D26" s="18">
        <f t="shared" si="6"/>
        <v>1454.8999735632397</v>
      </c>
      <c r="E26" s="18">
        <f t="shared" si="7"/>
        <v>1437.4974332724191</v>
      </c>
      <c r="F26" s="18">
        <f t="shared" si="8"/>
        <v>1464.7114188029032</v>
      </c>
      <c r="G26" s="18">
        <f t="shared" si="9"/>
        <v>1450.1823732742162</v>
      </c>
      <c r="H26" s="18">
        <f t="shared" si="10"/>
        <v>739.47168701957628</v>
      </c>
      <c r="I26" s="18">
        <f t="shared" si="11"/>
        <v>802.66256742540668</v>
      </c>
      <c r="J26" s="18">
        <f t="shared" si="12"/>
        <v>853.39837318377124</v>
      </c>
      <c r="K26" s="18">
        <f t="shared" si="13"/>
        <v>939.58614776846525</v>
      </c>
      <c r="L26" s="18">
        <f t="shared" si="14"/>
        <v>1003.7203479796422</v>
      </c>
      <c r="M26" s="18">
        <f t="shared" si="15"/>
        <v>1034.9231299472951</v>
      </c>
      <c r="N26" s="18">
        <f t="shared" si="16"/>
        <v>1057.5450730720929</v>
      </c>
      <c r="O26" s="18">
        <f t="shared" si="17"/>
        <v>1074.2567762304825</v>
      </c>
      <c r="P26" s="18">
        <f t="shared" si="18"/>
        <v>1078.2910054321217</v>
      </c>
      <c r="Q26" s="18">
        <f t="shared" si="19"/>
        <v>1069.6656120690216</v>
      </c>
      <c r="R26" s="18">
        <f t="shared" si="20"/>
        <v>1044.7292901729074</v>
      </c>
      <c r="S26" s="18">
        <f t="shared" si="21"/>
        <v>999.88277813291415</v>
      </c>
      <c r="T26" s="18">
        <f t="shared" si="22"/>
        <v>918.58752239662647</v>
      </c>
      <c r="U26" s="18">
        <f t="shared" si="23"/>
        <v>872.13031722107553</v>
      </c>
      <c r="V26" s="18">
        <f t="shared" si="24"/>
        <v>1151.5347381839656</v>
      </c>
      <c r="W26" s="18">
        <f t="shared" si="25"/>
        <v>1582.8462779269103</v>
      </c>
      <c r="X26" s="18">
        <f t="shared" si="26"/>
        <v>1561.7900545053781</v>
      </c>
      <c r="Y26" s="18">
        <f t="shared" si="27"/>
        <v>1541.8603986863441</v>
      </c>
      <c r="Z26" s="18">
        <f t="shared" si="28"/>
        <v>1523.4705144970321</v>
      </c>
      <c r="AA26" s="18">
        <v>31</v>
      </c>
      <c r="AB26" s="18">
        <f t="shared" si="29"/>
        <v>393805.13080727105</v>
      </c>
      <c r="AC26" s="18">
        <f t="shared" si="30"/>
        <v>478808.79236836912</v>
      </c>
      <c r="AD26" s="18">
        <f t="shared" si="31"/>
        <v>872613.92317564017</v>
      </c>
      <c r="AF26" s="18" t="s">
        <v>11</v>
      </c>
      <c r="AG26" s="17">
        <v>12</v>
      </c>
      <c r="AH26" s="18">
        <f t="shared" si="32"/>
        <v>1491.1924207084592</v>
      </c>
      <c r="AI26" s="18">
        <f t="shared" si="33"/>
        <v>1454.8999735632397</v>
      </c>
      <c r="AJ26" s="18">
        <f t="shared" si="34"/>
        <v>1437.4974332724191</v>
      </c>
      <c r="AK26" s="18">
        <f t="shared" si="35"/>
        <v>1464.7114188029032</v>
      </c>
      <c r="AL26" s="18">
        <f t="shared" si="36"/>
        <v>1450.1823732742162</v>
      </c>
      <c r="AM26" s="18">
        <f t="shared" si="37"/>
        <v>719.75232701957623</v>
      </c>
      <c r="AN26" s="18">
        <f t="shared" si="38"/>
        <v>520.01840742540685</v>
      </c>
      <c r="AO26" s="18">
        <f t="shared" si="39"/>
        <v>-73.411546816228565</v>
      </c>
      <c r="AP26" s="18">
        <f t="shared" si="40"/>
        <v>-960.0455322315338</v>
      </c>
      <c r="AQ26" s="18">
        <f t="shared" si="41"/>
        <v>-1954.1836520203574</v>
      </c>
      <c r="AR26" s="18">
        <f t="shared" si="42"/>
        <v>-2843.2176700527025</v>
      </c>
      <c r="AS26" s="18">
        <f t="shared" si="43"/>
        <v>-3635.6626069279091</v>
      </c>
      <c r="AT26" s="18">
        <f t="shared" si="44"/>
        <v>-4059.3499437695191</v>
      </c>
      <c r="AU26" s="18">
        <f t="shared" si="45"/>
        <v>-4121.046914567878</v>
      </c>
      <c r="AV26" s="18">
        <f t="shared" si="46"/>
        <v>-3722.1388679309803</v>
      </c>
      <c r="AW26" s="18">
        <f t="shared" si="47"/>
        <v>-2964.8739098270908</v>
      </c>
      <c r="AX26" s="18">
        <f t="shared" si="48"/>
        <v>-2023.7524218670865</v>
      </c>
      <c r="AY26" s="18">
        <f t="shared" si="49"/>
        <v>-1020.4828776033722</v>
      </c>
      <c r="AZ26" s="18">
        <f t="shared" si="50"/>
        <v>-2.0946427789241397</v>
      </c>
      <c r="BA26" s="18">
        <f t="shared" si="51"/>
        <v>895.18305818396584</v>
      </c>
      <c r="BB26" s="18">
        <f t="shared" si="52"/>
        <v>1556.5537979269102</v>
      </c>
      <c r="BC26" s="18">
        <f t="shared" si="53"/>
        <v>1561.7900545053781</v>
      </c>
      <c r="BD26" s="18">
        <f t="shared" si="54"/>
        <v>1541.8603986863441</v>
      </c>
      <c r="BE26" s="18">
        <f t="shared" si="55"/>
        <v>1523.4705144970321</v>
      </c>
      <c r="BF26" s="18">
        <v>31</v>
      </c>
      <c r="BG26" s="18">
        <f t="shared" si="56"/>
        <v>-483265.05113558605</v>
      </c>
      <c r="BH26" s="18">
        <f t="shared" si="57"/>
        <v>118607.45047122624</v>
      </c>
      <c r="BI26" s="18">
        <f t="shared" si="2"/>
        <v>-364657.60066435981</v>
      </c>
      <c r="BK26" s="18" t="s">
        <v>11</v>
      </c>
      <c r="BL26" s="17">
        <v>12</v>
      </c>
      <c r="BM26" s="18">
        <f t="shared" si="58"/>
        <v>0</v>
      </c>
      <c r="BN26" s="18">
        <f t="shared" si="59"/>
        <v>0</v>
      </c>
      <c r="BO26" s="18">
        <f t="shared" si="60"/>
        <v>0</v>
      </c>
      <c r="BP26" s="18">
        <f t="shared" si="61"/>
        <v>0</v>
      </c>
      <c r="BQ26" s="18">
        <f t="shared" si="62"/>
        <v>0</v>
      </c>
      <c r="BR26" s="18">
        <f t="shared" si="63"/>
        <v>0</v>
      </c>
      <c r="BS26" s="18">
        <f t="shared" si="64"/>
        <v>0</v>
      </c>
      <c r="BT26" s="18">
        <f t="shared" si="65"/>
        <v>73.411546816228565</v>
      </c>
      <c r="BU26" s="18">
        <f t="shared" si="66"/>
        <v>960.0455322315338</v>
      </c>
      <c r="BV26" s="18">
        <f t="shared" si="67"/>
        <v>1954.1836520203574</v>
      </c>
      <c r="BW26" s="18">
        <f t="shared" si="68"/>
        <v>2843.2176700527025</v>
      </c>
      <c r="BX26" s="18">
        <f t="shared" si="69"/>
        <v>3635.6626069279091</v>
      </c>
      <c r="BY26" s="18">
        <f t="shared" si="70"/>
        <v>4059.3499437695191</v>
      </c>
      <c r="BZ26" s="18">
        <f t="shared" si="71"/>
        <v>4121.046914567878</v>
      </c>
      <c r="CA26" s="18">
        <f t="shared" si="72"/>
        <v>3722.1388679309803</v>
      </c>
      <c r="CB26" s="18">
        <f t="shared" si="73"/>
        <v>2964.8739098270908</v>
      </c>
      <c r="CC26" s="18">
        <f t="shared" si="74"/>
        <v>2023.7524218670865</v>
      </c>
      <c r="CD26" s="18">
        <f t="shared" si="75"/>
        <v>1020.4828776033722</v>
      </c>
      <c r="CE26" s="18">
        <f t="shared" si="76"/>
        <v>2.0946427789241397</v>
      </c>
      <c r="CF26" s="18">
        <f t="shared" si="77"/>
        <v>0</v>
      </c>
      <c r="CG26" s="18">
        <f t="shared" si="78"/>
        <v>0</v>
      </c>
      <c r="CH26" s="18">
        <f t="shared" si="79"/>
        <v>0</v>
      </c>
      <c r="CI26" s="18">
        <f t="shared" si="80"/>
        <v>0</v>
      </c>
      <c r="CJ26" s="18">
        <f t="shared" si="81"/>
        <v>0</v>
      </c>
      <c r="CK26" s="18">
        <v>31</v>
      </c>
      <c r="CL26" s="18">
        <f t="shared" si="82"/>
        <v>606277.19869871507</v>
      </c>
      <c r="CM26" s="18">
        <f t="shared" si="83"/>
        <v>242510.87947948591</v>
      </c>
      <c r="CN26" s="18">
        <f t="shared" si="4"/>
        <v>848788.07817820099</v>
      </c>
    </row>
    <row r="27" spans="1:92"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B27" s="20">
        <f>SUM(AB15:AB26)</f>
        <v>5122462.374870969</v>
      </c>
      <c r="AC27" s="20">
        <f>SUM(AC15:AC26)</f>
        <v>6221713.7523095515</v>
      </c>
      <c r="AD27" s="20">
        <f>SUM(AD15:AD26)</f>
        <v>11344176.12718052</v>
      </c>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G27" s="20">
        <f>SUM(BG15:BG26)</f>
        <v>-2973151.8500433182</v>
      </c>
      <c r="BH27" s="20">
        <f>SUM(BH15:BH26)</f>
        <v>2955985.8476238353</v>
      </c>
      <c r="BI27" s="20">
        <f>SUM(BI15:BI26)</f>
        <v>-17166.002419482276</v>
      </c>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L27" s="20">
        <f>SUM(CL15:CL26)</f>
        <v>5435375.447596713</v>
      </c>
      <c r="CM27" s="20">
        <f>SUM(CM15:CM26)</f>
        <v>2174150.1790386848</v>
      </c>
      <c r="CN27" s="20">
        <f>SUM(CN15:CN26)</f>
        <v>7609525.6266353969</v>
      </c>
    </row>
    <row r="28" spans="1:92" x14ac:dyDescent="0.25">
      <c r="BM28" s="31"/>
      <c r="BR28" s="32" t="s">
        <v>106</v>
      </c>
      <c r="BS28" s="32"/>
      <c r="BT28" s="32"/>
      <c r="BU28" s="32"/>
    </row>
    <row r="29" spans="1:92" x14ac:dyDescent="0.25">
      <c r="A29" s="12" t="s">
        <v>23</v>
      </c>
      <c r="B29" s="13"/>
      <c r="C29" s="14"/>
      <c r="D29" s="14"/>
      <c r="E29" s="14"/>
      <c r="F29" s="14"/>
      <c r="G29" s="14"/>
      <c r="H29" s="14"/>
      <c r="I29" s="14"/>
      <c r="J29" s="14"/>
      <c r="K29" s="14"/>
      <c r="L29" s="14"/>
      <c r="M29" s="14"/>
      <c r="N29" s="14"/>
      <c r="O29" s="14"/>
      <c r="P29" s="14"/>
      <c r="Q29" s="14"/>
      <c r="R29" s="14"/>
      <c r="S29" s="14"/>
      <c r="T29" s="14"/>
      <c r="U29" s="14"/>
      <c r="V29" s="14"/>
      <c r="W29" s="14"/>
      <c r="X29" s="14"/>
      <c r="Y29" s="14"/>
      <c r="Z29" s="15"/>
      <c r="AA29" s="15" t="s">
        <v>15</v>
      </c>
      <c r="AB29" s="15" t="s">
        <v>33</v>
      </c>
      <c r="AC29" s="15" t="s">
        <v>34</v>
      </c>
      <c r="AD29" s="15" t="s">
        <v>22</v>
      </c>
      <c r="AF29" s="12" t="s">
        <v>29</v>
      </c>
      <c r="AG29" s="13"/>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5"/>
      <c r="BF29" s="15" t="s">
        <v>15</v>
      </c>
      <c r="BG29" s="15" t="s">
        <v>33</v>
      </c>
      <c r="BH29" s="15" t="s">
        <v>34</v>
      </c>
      <c r="BI29" s="15" t="s">
        <v>22</v>
      </c>
      <c r="BK29" s="12" t="s">
        <v>48</v>
      </c>
      <c r="BL29" s="13"/>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5"/>
      <c r="CK29" s="15" t="s">
        <v>15</v>
      </c>
      <c r="CL29" s="15" t="s">
        <v>33</v>
      </c>
      <c r="CM29" s="15" t="s">
        <v>34</v>
      </c>
      <c r="CN29" s="15" t="s">
        <v>22</v>
      </c>
    </row>
    <row r="30" spans="1:92" x14ac:dyDescent="0.25">
      <c r="A30" s="16"/>
      <c r="B30" s="3" t="s">
        <v>12</v>
      </c>
      <c r="C30" s="16">
        <v>0</v>
      </c>
      <c r="D30" s="16">
        <v>1</v>
      </c>
      <c r="E30" s="16">
        <v>2</v>
      </c>
      <c r="F30" s="16">
        <v>3</v>
      </c>
      <c r="G30" s="16">
        <v>4</v>
      </c>
      <c r="H30" s="16">
        <v>5</v>
      </c>
      <c r="I30" s="16">
        <v>6</v>
      </c>
      <c r="J30" s="16">
        <v>7</v>
      </c>
      <c r="K30" s="16">
        <v>8</v>
      </c>
      <c r="L30" s="16">
        <v>9</v>
      </c>
      <c r="M30" s="16">
        <v>10</v>
      </c>
      <c r="N30" s="16">
        <v>11</v>
      </c>
      <c r="O30" s="16">
        <v>12</v>
      </c>
      <c r="P30" s="16">
        <v>13</v>
      </c>
      <c r="Q30" s="16">
        <v>14</v>
      </c>
      <c r="R30" s="16">
        <v>15</v>
      </c>
      <c r="S30" s="16">
        <v>16</v>
      </c>
      <c r="T30" s="16">
        <v>17</v>
      </c>
      <c r="U30" s="16">
        <v>18</v>
      </c>
      <c r="V30" s="16">
        <v>19</v>
      </c>
      <c r="W30" s="16">
        <v>20</v>
      </c>
      <c r="X30" s="16">
        <v>21</v>
      </c>
      <c r="Y30" s="16">
        <v>22</v>
      </c>
      <c r="Z30" s="16">
        <v>23</v>
      </c>
      <c r="AA30" s="16"/>
      <c r="AB30" s="16"/>
      <c r="AC30" s="16"/>
      <c r="AD30" s="16"/>
      <c r="AF30" s="16"/>
      <c r="AG30" s="3" t="s">
        <v>12</v>
      </c>
      <c r="AH30" s="16">
        <v>0</v>
      </c>
      <c r="AI30" s="16">
        <v>1</v>
      </c>
      <c r="AJ30" s="16">
        <v>2</v>
      </c>
      <c r="AK30" s="16">
        <v>3</v>
      </c>
      <c r="AL30" s="16">
        <v>4</v>
      </c>
      <c r="AM30" s="16">
        <v>5</v>
      </c>
      <c r="AN30" s="16">
        <v>6</v>
      </c>
      <c r="AO30" s="16">
        <v>7</v>
      </c>
      <c r="AP30" s="16">
        <v>8</v>
      </c>
      <c r="AQ30" s="16">
        <v>9</v>
      </c>
      <c r="AR30" s="16">
        <v>10</v>
      </c>
      <c r="AS30" s="16">
        <v>11</v>
      </c>
      <c r="AT30" s="16">
        <v>12</v>
      </c>
      <c r="AU30" s="16">
        <v>13</v>
      </c>
      <c r="AV30" s="16">
        <v>14</v>
      </c>
      <c r="AW30" s="16">
        <v>15</v>
      </c>
      <c r="AX30" s="16">
        <v>16</v>
      </c>
      <c r="AY30" s="16">
        <v>17</v>
      </c>
      <c r="AZ30" s="16">
        <v>18</v>
      </c>
      <c r="BA30" s="16">
        <v>19</v>
      </c>
      <c r="BB30" s="16">
        <v>20</v>
      </c>
      <c r="BC30" s="16">
        <v>21</v>
      </c>
      <c r="BD30" s="16">
        <v>22</v>
      </c>
      <c r="BE30" s="16">
        <v>23</v>
      </c>
      <c r="BF30" s="16"/>
      <c r="BG30" s="16"/>
      <c r="BH30" s="16"/>
      <c r="BI30" s="16"/>
      <c r="BK30" s="16"/>
      <c r="BL30" s="3" t="s">
        <v>12</v>
      </c>
      <c r="BM30" s="16">
        <v>0</v>
      </c>
      <c r="BN30" s="16">
        <v>1</v>
      </c>
      <c r="BO30" s="16">
        <v>2</v>
      </c>
      <c r="BP30" s="16">
        <v>3</v>
      </c>
      <c r="BQ30" s="16">
        <v>4</v>
      </c>
      <c r="BR30" s="16">
        <v>5</v>
      </c>
      <c r="BS30" s="16">
        <v>6</v>
      </c>
      <c r="BT30" s="16">
        <v>7</v>
      </c>
      <c r="BU30" s="16">
        <v>8</v>
      </c>
      <c r="BV30" s="16">
        <v>9</v>
      </c>
      <c r="BW30" s="16">
        <v>10</v>
      </c>
      <c r="BX30" s="16">
        <v>11</v>
      </c>
      <c r="BY30" s="16">
        <v>12</v>
      </c>
      <c r="BZ30" s="16">
        <v>13</v>
      </c>
      <c r="CA30" s="16">
        <v>14</v>
      </c>
      <c r="CB30" s="16">
        <v>15</v>
      </c>
      <c r="CC30" s="16">
        <v>16</v>
      </c>
      <c r="CD30" s="16">
        <v>17</v>
      </c>
      <c r="CE30" s="16">
        <v>18</v>
      </c>
      <c r="CF30" s="16">
        <v>19</v>
      </c>
      <c r="CG30" s="16">
        <v>20</v>
      </c>
      <c r="CH30" s="16">
        <v>21</v>
      </c>
      <c r="CI30" s="16">
        <v>22</v>
      </c>
      <c r="CJ30" s="16">
        <v>23</v>
      </c>
      <c r="CK30" s="16"/>
      <c r="CL30" s="16"/>
      <c r="CM30" s="16"/>
      <c r="CN30" s="16"/>
    </row>
    <row r="31" spans="1:92" x14ac:dyDescent="0.25">
      <c r="A31" s="18" t="s">
        <v>0</v>
      </c>
      <c r="B31" s="17">
        <v>1</v>
      </c>
      <c r="C31" s="18">
        <f>C47*'Summary Sheet'!$B$15*$AA47</f>
        <v>0</v>
      </c>
      <c r="D31" s="18">
        <f>D47*'Summary Sheet'!$B$15*$AA47</f>
        <v>0</v>
      </c>
      <c r="E31" s="18">
        <f>E47*'Summary Sheet'!$B$15*$AA47</f>
        <v>0</v>
      </c>
      <c r="F31" s="18">
        <f>F47*'Summary Sheet'!$B$15*$AA47</f>
        <v>0</v>
      </c>
      <c r="G31" s="18">
        <f>G47*'Summary Sheet'!$B$15*$AA47</f>
        <v>0</v>
      </c>
      <c r="H31" s="18">
        <f>H47*'Summary Sheet'!$B$15*$AA47</f>
        <v>6.5731199999999967</v>
      </c>
      <c r="I31" s="18">
        <f>I47*'Summary Sheet'!$B$15*$AA47</f>
        <v>190.62047999999987</v>
      </c>
      <c r="J31" s="18">
        <f>J47*'Summary Sheet'!$B$15*$AA47</f>
        <v>729.61632000000066</v>
      </c>
      <c r="K31" s="18">
        <f>K47*'Summary Sheet'!$B$15*$AA47</f>
        <v>1702.4380800000001</v>
      </c>
      <c r="L31" s="18">
        <f>L47*'Summary Sheet'!$B$15*$AA47</f>
        <v>2754.1372799999995</v>
      </c>
      <c r="M31" s="18">
        <f>M47*'Summary Sheet'!$B$15*$AA47</f>
        <v>3818.9827200000004</v>
      </c>
      <c r="N31" s="18">
        <f>N47*'Summary Sheet'!$B$15*$AA47</f>
        <v>4798.3776000000043</v>
      </c>
      <c r="O31" s="18">
        <f>O47*'Summary Sheet'!$B$15*$AA47</f>
        <v>5403.1046400000023</v>
      </c>
      <c r="P31" s="18">
        <f>P47*'Summary Sheet'!$B$15*$AA47</f>
        <v>5580.5788799999964</v>
      </c>
      <c r="Q31" s="18">
        <f>Q47*'Summary Sheet'!$B$15*$AA47</f>
        <v>5238.7766399999991</v>
      </c>
      <c r="R31" s="18">
        <f>R47*'Summary Sheet'!$B$15*$AA47</f>
        <v>4482.8678400000017</v>
      </c>
      <c r="S31" s="18">
        <f>S47*'Summary Sheet'!$B$15*$AA47</f>
        <v>3477.1804799999986</v>
      </c>
      <c r="T31" s="18">
        <f>T47*'Summary Sheet'!$B$15*$AA47</f>
        <v>2274.29952</v>
      </c>
      <c r="U31" s="18">
        <f>U47*'Summary Sheet'!$B$15*$AA47</f>
        <v>1097.711040000001</v>
      </c>
      <c r="V31" s="18">
        <f>V47*'Summary Sheet'!$B$15*$AA47</f>
        <v>295.79039999999992</v>
      </c>
      <c r="W31" s="18">
        <f>W47*'Summary Sheet'!$B$15*$AA47</f>
        <v>26.292479999999987</v>
      </c>
      <c r="X31" s="18">
        <f>X47*'Summary Sheet'!$B$15*$AA47</f>
        <v>0</v>
      </c>
      <c r="Y31" s="18">
        <f>Y47*'Summary Sheet'!$B$15*$AA47</f>
        <v>0</v>
      </c>
      <c r="Z31" s="18">
        <f>Z47*'Summary Sheet'!$B$15*$AA47</f>
        <v>0</v>
      </c>
      <c r="AA31" s="18">
        <v>31</v>
      </c>
      <c r="AB31" s="18">
        <f>SUM(J31:Y31)*AA31*5/7</f>
        <v>922917.69394285709</v>
      </c>
      <c r="AC31" s="18">
        <f>AD31-AB31</f>
        <v>375280.0791771427</v>
      </c>
      <c r="AD31" s="18">
        <f t="shared" ref="AD31:AD42" si="84">AA31*(SUM(C31:Z31))</f>
        <v>1298197.7731199998</v>
      </c>
      <c r="AF31" s="18" t="s">
        <v>0</v>
      </c>
      <c r="AG31" s="17">
        <v>1</v>
      </c>
      <c r="AH31" s="18">
        <f t="shared" ref="AH31:AH42" si="85">IF(C31&gt;C15,C15,C31)</f>
        <v>0</v>
      </c>
      <c r="AI31" s="18">
        <f t="shared" ref="AI31:AI42" si="86">IF(D31&gt;D15,D15,D31)</f>
        <v>0</v>
      </c>
      <c r="AJ31" s="18">
        <f t="shared" ref="AJ31:AJ42" si="87">IF(E31&gt;E15,E15,E31)</f>
        <v>0</v>
      </c>
      <c r="AK31" s="18">
        <f t="shared" ref="AK31:AK42" si="88">IF(F31&gt;F15,F15,F31)</f>
        <v>0</v>
      </c>
      <c r="AL31" s="18">
        <f t="shared" ref="AL31:AL42" si="89">IF(G31&gt;G15,G15,G31)</f>
        <v>0</v>
      </c>
      <c r="AM31" s="18">
        <f t="shared" ref="AM31:AM42" si="90">IF(H31&gt;H15,H15,H31)</f>
        <v>6.5731199999999967</v>
      </c>
      <c r="AN31" s="18">
        <f t="shared" ref="AN31:AN42" si="91">IF(I31&gt;I15,I15,I31)</f>
        <v>190.62047999999987</v>
      </c>
      <c r="AO31" s="18">
        <f t="shared" ref="AO31:AO42" si="92">IF(J31&gt;J15,J15,J31)</f>
        <v>729.61632000000066</v>
      </c>
      <c r="AP31" s="18">
        <f t="shared" ref="AP31:AP42" si="93">IF(K31&gt;K15,K15,K31)</f>
        <v>968.98939600012955</v>
      </c>
      <c r="AQ31" s="18">
        <f t="shared" ref="AQ31:AQ42" si="94">IF(L31&gt;L15,L15,L31)</f>
        <v>1046.3967811291163</v>
      </c>
      <c r="AR31" s="18">
        <f t="shared" ref="AR31:AR42" si="95">IF(M31&gt;M15,M15,M31)</f>
        <v>1092.9820234439849</v>
      </c>
      <c r="AS31" s="18">
        <f t="shared" ref="AS31:AS42" si="96">IF(N31&gt;N15,N15,N31)</f>
        <v>1118.9018177130793</v>
      </c>
      <c r="AT31" s="18">
        <f t="shared" ref="AT31:AT42" si="97">IF(O31&gt;O15,O15,O31)</f>
        <v>1134.8954341766353</v>
      </c>
      <c r="AU31" s="18">
        <f t="shared" ref="AU31:AU42" si="98">IF(P31&gt;P15,P15,P31)</f>
        <v>1148.4018200056155</v>
      </c>
      <c r="AV31" s="18">
        <f t="shared" ref="AV31:AV42" si="99">IF(Q31&gt;Q15,Q15,Q31)</f>
        <v>1138.9023871926772</v>
      </c>
      <c r="AW31" s="18">
        <f t="shared" ref="AW31:AW42" si="100">IF(R31&gt;R15,R15,R31)</f>
        <v>1108.9700387985404</v>
      </c>
      <c r="AX31" s="18">
        <f t="shared" ref="AX31:AX42" si="101">IF(S31&gt;S15,S15,S31)</f>
        <v>1056.0029968591141</v>
      </c>
      <c r="AY31" s="18">
        <f t="shared" ref="AY31:AY42" si="102">IF(T31&gt;T15,T15,T31)</f>
        <v>977.9706632485495</v>
      </c>
      <c r="AZ31" s="18">
        <f t="shared" ref="AZ31:AZ42" si="103">IF(U31&gt;U15,U15,U31)</f>
        <v>920.38104401473845</v>
      </c>
      <c r="BA31" s="18">
        <f t="shared" ref="BA31:BA42" si="104">IF(V31&gt;V15,V15,V31)</f>
        <v>295.79039999999992</v>
      </c>
      <c r="BB31" s="18">
        <f t="shared" ref="BB31:BB42" si="105">IF(W31&gt;W15,W15,W31)</f>
        <v>26.292479999999987</v>
      </c>
      <c r="BC31" s="18">
        <f t="shared" ref="BC31:BC42" si="106">IF(X31&gt;X15,X15,X31)</f>
        <v>0</v>
      </c>
      <c r="BD31" s="18">
        <f t="shared" ref="BD31:BD42" si="107">IF(Y31&gt;Y15,Y15,Y31)</f>
        <v>0</v>
      </c>
      <c r="BE31" s="18">
        <f t="shared" ref="BE31:BE42" si="108">IF(Z31&gt;Z15,Z15,Z31)</f>
        <v>0</v>
      </c>
      <c r="BF31" s="18">
        <v>31</v>
      </c>
      <c r="BG31" s="18">
        <f>SUM(AO31:BD31)*BF31*5/7</f>
        <v>282642.35834289109</v>
      </c>
      <c r="BH31" s="18">
        <f>BI31-BG31</f>
        <v>119169.94493715651</v>
      </c>
      <c r="BI31" s="18">
        <f t="shared" ref="BI31:BI42" si="109">BF31*(SUM(AH31:BE31))</f>
        <v>401812.30328004761</v>
      </c>
      <c r="BK31" s="18" t="s">
        <v>0</v>
      </c>
      <c r="BL31" s="17">
        <v>1</v>
      </c>
      <c r="BM31" s="18">
        <f>IF('Summary Sheet'!$U$20="N",0,MIN(SUM(BM15,CJ63),'Summary Sheet'!$U$21))</f>
        <v>0</v>
      </c>
      <c r="BN31" s="18">
        <f>IF('Summary Sheet'!$U$20="N",0,MIN(SUM(BN15,BM63),'Summary Sheet'!$U$21))</f>
        <v>0</v>
      </c>
      <c r="BO31" s="18">
        <f>IF('Summary Sheet'!$U$20="N",0,MIN(SUM(BO15,BN63),'Summary Sheet'!$U$21))</f>
        <v>0</v>
      </c>
      <c r="BP31" s="18">
        <f>IF('Summary Sheet'!$U$20="N",0,MIN(SUM(BP15,BO63),'Summary Sheet'!$U$21))</f>
        <v>0</v>
      </c>
      <c r="BQ31" s="18">
        <f>IF('Summary Sheet'!$U$20="N",0,MIN(SUM(BQ15,BP63),'Summary Sheet'!$U$21))</f>
        <v>0</v>
      </c>
      <c r="BR31" s="18">
        <f>IF('Summary Sheet'!$U$20="N",0,MIN(SUM(BR15,BQ63),'Summary Sheet'!$U$21))</f>
        <v>0</v>
      </c>
      <c r="BS31" s="18">
        <v>0</v>
      </c>
      <c r="BT31" s="18">
        <f>IF('Summary Sheet'!$U$20="N",0,MIN(SUM(BT15,BS63),'Summary Sheet'!$U$21))</f>
        <v>0</v>
      </c>
      <c r="BU31" s="18">
        <f>IF('Summary Sheet'!$U$20="N",0,MIN(SUM(BU15,BT63),'Summary Sheet'!$U$21))</f>
        <v>0</v>
      </c>
      <c r="BV31" s="18">
        <f>IF('Summary Sheet'!$U$20="N",0,MIN(SUM(BV15,BU63),'Summary Sheet'!$U$21))</f>
        <v>0</v>
      </c>
      <c r="BW31" s="18">
        <f>IF('Summary Sheet'!$U$20="N",0,MIN(SUM(BW15,BV63),'Summary Sheet'!$U$21))</f>
        <v>0</v>
      </c>
      <c r="BX31" s="18">
        <f>IF('Summary Sheet'!$U$20="N",0,MIN(SUM(BX15,BW63),'Summary Sheet'!$U$21))</f>
        <v>0</v>
      </c>
      <c r="BY31" s="18">
        <f>IF('Summary Sheet'!$U$20="N",0,MIN(SUM(BY15,BX63),'Summary Sheet'!$U$21))</f>
        <v>0</v>
      </c>
      <c r="BZ31" s="18">
        <f>IF('Summary Sheet'!$U$20="N",0,MIN(SUM(BZ15,BY63),'Summary Sheet'!$U$21))</f>
        <v>0</v>
      </c>
      <c r="CA31" s="18">
        <f>IF('Summary Sheet'!$U$20="N",0,MIN(SUM(CA15,BZ63),'Summary Sheet'!$U$21))</f>
        <v>0</v>
      </c>
      <c r="CB31" s="18">
        <f>IF('Summary Sheet'!$U$20="N",0,MIN(SUM(CB15,CA63),'Summary Sheet'!$U$21))</f>
        <v>0</v>
      </c>
      <c r="CC31" s="18">
        <f>IF('Summary Sheet'!$U$20="N",0,MIN(SUM(CC15,CB63),'Summary Sheet'!$U$21))</f>
        <v>0</v>
      </c>
      <c r="CD31" s="18">
        <f>IF('Summary Sheet'!$U$20="N",0,MIN(SUM(CD15,CC63),'Summary Sheet'!$U$21))</f>
        <v>0</v>
      </c>
      <c r="CE31" s="18">
        <f>IF('Summary Sheet'!$U$20="N",0,MIN(SUM(CE15,CD63),'Summary Sheet'!$U$21))</f>
        <v>0</v>
      </c>
      <c r="CF31" s="18">
        <f>IF('Summary Sheet'!$U$20="N",0,MIN(SUM(CF15,CE63),'Summary Sheet'!$U$21))</f>
        <v>0</v>
      </c>
      <c r="CG31" s="18">
        <f>IF('Summary Sheet'!$U$20="N",0,MIN(SUM(CG15,CF63),'Summary Sheet'!$U$21))</f>
        <v>0</v>
      </c>
      <c r="CH31" s="18">
        <f>IF('Summary Sheet'!$U$20="N",0,MIN(SUM(CH15,CG63),'Summary Sheet'!$U$21))</f>
        <v>0</v>
      </c>
      <c r="CI31" s="18">
        <f>IF('Summary Sheet'!$U$20="N",0,MIN(SUM(CI15,CH63),'Summary Sheet'!$U$21))</f>
        <v>0</v>
      </c>
      <c r="CJ31" s="18">
        <f>IF('Summary Sheet'!$U$20="N",0,MIN(SUM(CJ15,CI63),'Summary Sheet'!$U$21))</f>
        <v>0</v>
      </c>
      <c r="CK31" s="18">
        <v>31</v>
      </c>
      <c r="CL31" s="18">
        <f>SUM(BT31:CI31)*CK31*5/7</f>
        <v>0</v>
      </c>
      <c r="CM31" s="18">
        <f>CN31-CL31</f>
        <v>0</v>
      </c>
      <c r="CN31" s="18">
        <f t="shared" ref="CN31:CN42" si="110">CK31*(SUM(BM31:CJ31))</f>
        <v>0</v>
      </c>
    </row>
    <row r="32" spans="1:92" x14ac:dyDescent="0.25">
      <c r="A32" s="18" t="s">
        <v>1</v>
      </c>
      <c r="B32" s="17">
        <v>2</v>
      </c>
      <c r="C32" s="18">
        <f>C48*'Summary Sheet'!$B$15*$AA48</f>
        <v>0</v>
      </c>
      <c r="D32" s="18">
        <f>D48*'Summary Sheet'!$B$15*$AA48</f>
        <v>0</v>
      </c>
      <c r="E32" s="18">
        <f>E48*'Summary Sheet'!$B$15*$AA48</f>
        <v>0</v>
      </c>
      <c r="F32" s="18">
        <f>F48*'Summary Sheet'!$B$15*$AA48</f>
        <v>0</v>
      </c>
      <c r="G32" s="18">
        <f>G48*'Summary Sheet'!$B$15*$AA48</f>
        <v>0</v>
      </c>
      <c r="H32" s="18">
        <f>H48*'Summary Sheet'!$B$15*$AA48</f>
        <v>0</v>
      </c>
      <c r="I32" s="18">
        <f>I48*'Summary Sheet'!$B$15*$AA48</f>
        <v>59.158079999999984</v>
      </c>
      <c r="J32" s="18">
        <f>J48*'Summary Sheet'!$B$15*$AA48</f>
        <v>460.11839999999989</v>
      </c>
      <c r="K32" s="18">
        <f>K48*'Summary Sheet'!$B$15*$AA48</f>
        <v>1551.2563200000002</v>
      </c>
      <c r="L32" s="18">
        <f>L48*'Summary Sheet'!$B$15*$AA48</f>
        <v>2747.5641600000004</v>
      </c>
      <c r="M32" s="18">
        <f>M48*'Summary Sheet'!$B$15*$AA48</f>
        <v>3891.2870399999988</v>
      </c>
      <c r="N32" s="18">
        <f>N48*'Summary Sheet'!$B$15*$AA48</f>
        <v>4837.816319999999</v>
      </c>
      <c r="O32" s="18">
        <f>O48*'Summary Sheet'!$B$15*$AA48</f>
        <v>5481.9820799999989</v>
      </c>
      <c r="P32" s="18">
        <f>P48*'Summary Sheet'!$B$15*$AA48</f>
        <v>5652.8831999999993</v>
      </c>
      <c r="Q32" s="18">
        <f>Q48*'Summary Sheet'!$B$15*$AA48</f>
        <v>5297.934720000002</v>
      </c>
      <c r="R32" s="18">
        <f>R48*'Summary Sheet'!$B$15*$AA48</f>
        <v>4542.02592</v>
      </c>
      <c r="S32" s="18">
        <f>S48*'Summary Sheet'!$B$15*$AA48</f>
        <v>3477.1804799999991</v>
      </c>
      <c r="T32" s="18">
        <f>T48*'Summary Sheet'!$B$15*$AA48</f>
        <v>2208.5683199999989</v>
      </c>
      <c r="U32" s="18">
        <f>U48*'Summary Sheet'!$B$15*$AA48</f>
        <v>979.39487999999994</v>
      </c>
      <c r="V32" s="18">
        <f>V48*'Summary Sheet'!$B$15*$AA48</f>
        <v>184.04736000000011</v>
      </c>
      <c r="W32" s="18">
        <f>W48*'Summary Sheet'!$B$15*$AA48</f>
        <v>0</v>
      </c>
      <c r="X32" s="18">
        <f>X48*'Summary Sheet'!$B$15*$AA48</f>
        <v>0</v>
      </c>
      <c r="Y32" s="18">
        <f>Y48*'Summary Sheet'!$B$15*$AA48</f>
        <v>0</v>
      </c>
      <c r="Z32" s="18">
        <f>Z48*'Summary Sheet'!$B$15*$AA48</f>
        <v>0</v>
      </c>
      <c r="AA32" s="18">
        <v>28</v>
      </c>
      <c r="AB32" s="18">
        <f t="shared" ref="AB32:AB42" si="111">SUM(J32:Y32)*AA32*5/7</f>
        <v>826241.18399999966</v>
      </c>
      <c r="AC32" s="18">
        <f t="shared" ref="AC32:AC42" si="112">AD32-AB32</f>
        <v>332152.89984000032</v>
      </c>
      <c r="AD32" s="18">
        <f t="shared" si="84"/>
        <v>1158394.08384</v>
      </c>
      <c r="AF32" s="18" t="s">
        <v>1</v>
      </c>
      <c r="AG32" s="17">
        <v>2</v>
      </c>
      <c r="AH32" s="18">
        <f t="shared" si="85"/>
        <v>0</v>
      </c>
      <c r="AI32" s="18">
        <f t="shared" si="86"/>
        <v>0</v>
      </c>
      <c r="AJ32" s="18">
        <f t="shared" si="87"/>
        <v>0</v>
      </c>
      <c r="AK32" s="18">
        <f t="shared" si="88"/>
        <v>0</v>
      </c>
      <c r="AL32" s="18">
        <f t="shared" si="89"/>
        <v>0</v>
      </c>
      <c r="AM32" s="18">
        <f t="shared" si="90"/>
        <v>0</v>
      </c>
      <c r="AN32" s="18">
        <f t="shared" si="91"/>
        <v>59.158079999999984</v>
      </c>
      <c r="AO32" s="18">
        <f t="shared" si="92"/>
        <v>460.11839999999989</v>
      </c>
      <c r="AP32" s="18">
        <f t="shared" si="93"/>
        <v>1000.1881510032197</v>
      </c>
      <c r="AQ32" s="18">
        <f t="shared" si="94"/>
        <v>1069.9777366357407</v>
      </c>
      <c r="AR32" s="18">
        <f t="shared" si="95"/>
        <v>1098.6050693360346</v>
      </c>
      <c r="AS32" s="18">
        <f t="shared" si="96"/>
        <v>1128.247260959831</v>
      </c>
      <c r="AT32" s="18">
        <f t="shared" si="97"/>
        <v>1158.1553419875374</v>
      </c>
      <c r="AU32" s="18">
        <f t="shared" si="98"/>
        <v>1172.437687725951</v>
      </c>
      <c r="AV32" s="18">
        <f t="shared" si="99"/>
        <v>1159.0700366010424</v>
      </c>
      <c r="AW32" s="18">
        <f t="shared" si="100"/>
        <v>1159.9757682508407</v>
      </c>
      <c r="AX32" s="18">
        <f t="shared" si="101"/>
        <v>1135.2419560691192</v>
      </c>
      <c r="AY32" s="18">
        <f t="shared" si="102"/>
        <v>1068.5957073548029</v>
      </c>
      <c r="AZ32" s="18">
        <f t="shared" si="103"/>
        <v>979.39487999999994</v>
      </c>
      <c r="BA32" s="18">
        <f t="shared" si="104"/>
        <v>184.04736000000011</v>
      </c>
      <c r="BB32" s="18">
        <f t="shared" si="105"/>
        <v>0</v>
      </c>
      <c r="BC32" s="18">
        <f t="shared" si="106"/>
        <v>0</v>
      </c>
      <c r="BD32" s="18">
        <f t="shared" si="107"/>
        <v>0</v>
      </c>
      <c r="BE32" s="18">
        <f t="shared" si="108"/>
        <v>0</v>
      </c>
      <c r="BF32" s="18">
        <v>28</v>
      </c>
      <c r="BG32" s="18">
        <f t="shared" ref="BG32:BG42" si="113">SUM(AO32:BD32)*BF32*5/7</f>
        <v>255481.10711848238</v>
      </c>
      <c r="BH32" s="18">
        <f t="shared" ref="BH32:BH42" si="114">BI32-BG32</f>
        <v>103848.86908739302</v>
      </c>
      <c r="BI32" s="18">
        <f t="shared" si="109"/>
        <v>359329.9762058754</v>
      </c>
      <c r="BK32" s="18" t="s">
        <v>1</v>
      </c>
      <c r="BL32" s="17">
        <v>2</v>
      </c>
      <c r="BM32" s="18">
        <f>IF('Summary Sheet'!$U$20="N",0,MIN(SUM(BM16,CJ64),'Summary Sheet'!$U$21))</f>
        <v>0</v>
      </c>
      <c r="BN32" s="18">
        <f>IF('Summary Sheet'!$U$20="N",0,MIN(SUM(BN16,BM64),'Summary Sheet'!$U$21))</f>
        <v>0</v>
      </c>
      <c r="BO32" s="18">
        <f>IF('Summary Sheet'!$U$20="N",0,MIN(SUM(BO16,BN64),'Summary Sheet'!$U$21))</f>
        <v>0</v>
      </c>
      <c r="BP32" s="18">
        <f>IF('Summary Sheet'!$U$20="N",0,MIN(SUM(BP16,BO64),'Summary Sheet'!$U$21))</f>
        <v>0</v>
      </c>
      <c r="BQ32" s="18">
        <f>IF('Summary Sheet'!$U$20="N",0,MIN(SUM(BQ16,BP64),'Summary Sheet'!$U$21))</f>
        <v>0</v>
      </c>
      <c r="BR32" s="18">
        <f>IF('Summary Sheet'!$U$20="N",0,MIN(SUM(BR16,BQ64),'Summary Sheet'!$U$21))</f>
        <v>0</v>
      </c>
      <c r="BS32" s="18">
        <v>0</v>
      </c>
      <c r="BT32" s="18">
        <f>IF('Summary Sheet'!$U$20="N",0,MIN(SUM(BT16,BS64),'Summary Sheet'!$U$21))</f>
        <v>0</v>
      </c>
      <c r="BU32" s="18">
        <f>IF('Summary Sheet'!$U$20="N",0,MIN(SUM(BU16,BT64),'Summary Sheet'!$U$21))</f>
        <v>0</v>
      </c>
      <c r="BV32" s="18">
        <f>IF('Summary Sheet'!$U$20="N",0,MIN(SUM(BV16,BU64),'Summary Sheet'!$U$21))</f>
        <v>0</v>
      </c>
      <c r="BW32" s="18">
        <f>IF('Summary Sheet'!$U$20="N",0,MIN(SUM(BW16,BV64),'Summary Sheet'!$U$21))</f>
        <v>0</v>
      </c>
      <c r="BX32" s="18">
        <f>IF('Summary Sheet'!$U$20="N",0,MIN(SUM(BX16,BW64),'Summary Sheet'!$U$21))</f>
        <v>0</v>
      </c>
      <c r="BY32" s="18">
        <f>IF('Summary Sheet'!$U$20="N",0,MIN(SUM(BY16,BX64),'Summary Sheet'!$U$21))</f>
        <v>0</v>
      </c>
      <c r="BZ32" s="18">
        <f>IF('Summary Sheet'!$U$20="N",0,MIN(SUM(BZ16,BY64),'Summary Sheet'!$U$21))</f>
        <v>0</v>
      </c>
      <c r="CA32" s="18">
        <f>IF('Summary Sheet'!$U$20="N",0,MIN(SUM(CA16,BZ64),'Summary Sheet'!$U$21))</f>
        <v>0</v>
      </c>
      <c r="CB32" s="18">
        <f>IF('Summary Sheet'!$U$20="N",0,MIN(SUM(CB16,CA64),'Summary Sheet'!$U$21))</f>
        <v>0</v>
      </c>
      <c r="CC32" s="18">
        <f>IF('Summary Sheet'!$U$20="N",0,MIN(SUM(CC16,CB64),'Summary Sheet'!$U$21))</f>
        <v>0</v>
      </c>
      <c r="CD32" s="18">
        <f>IF('Summary Sheet'!$U$20="N",0,MIN(SUM(CD16,CC64),'Summary Sheet'!$U$21))</f>
        <v>0</v>
      </c>
      <c r="CE32" s="18">
        <f>IF('Summary Sheet'!$U$20="N",0,MIN(SUM(CE16,CD64),'Summary Sheet'!$U$21))</f>
        <v>0</v>
      </c>
      <c r="CF32" s="18">
        <f>IF('Summary Sheet'!$U$20="N",0,MIN(SUM(CF16,CE64),'Summary Sheet'!$U$21))</f>
        <v>0</v>
      </c>
      <c r="CG32" s="18">
        <f>IF('Summary Sheet'!$U$20="N",0,MIN(SUM(CG16,CF64),'Summary Sheet'!$U$21))</f>
        <v>0</v>
      </c>
      <c r="CH32" s="18">
        <f>IF('Summary Sheet'!$U$20="N",0,MIN(SUM(CH16,CG64),'Summary Sheet'!$U$21))</f>
        <v>0</v>
      </c>
      <c r="CI32" s="18">
        <f>IF('Summary Sheet'!$U$20="N",0,MIN(SUM(CI16,CH64),'Summary Sheet'!$U$21))</f>
        <v>0</v>
      </c>
      <c r="CJ32" s="18">
        <f>IF('Summary Sheet'!$U$20="N",0,MIN(SUM(CJ16,CI64),'Summary Sheet'!$U$21))</f>
        <v>0</v>
      </c>
      <c r="CK32" s="18">
        <v>28</v>
      </c>
      <c r="CL32" s="18">
        <f t="shared" ref="CL32:CL42" si="115">SUM(BT32:CI32)*CK32*5/7</f>
        <v>0</v>
      </c>
      <c r="CM32" s="18">
        <f t="shared" ref="CM32:CM42" si="116">CN32-CL32</f>
        <v>0</v>
      </c>
      <c r="CN32" s="18">
        <f t="shared" si="110"/>
        <v>0</v>
      </c>
    </row>
    <row r="33" spans="1:92" x14ac:dyDescent="0.25">
      <c r="A33" s="18" t="s">
        <v>2</v>
      </c>
      <c r="B33" s="17">
        <v>3</v>
      </c>
      <c r="C33" s="18">
        <f>C49*'Summary Sheet'!$B$15*$AA49</f>
        <v>0</v>
      </c>
      <c r="D33" s="18">
        <f>D49*'Summary Sheet'!$B$15*$AA49</f>
        <v>0</v>
      </c>
      <c r="E33" s="18">
        <f>E49*'Summary Sheet'!$B$15*$AA49</f>
        <v>0</v>
      </c>
      <c r="F33" s="18">
        <f>F49*'Summary Sheet'!$B$15*$AA49</f>
        <v>0</v>
      </c>
      <c r="G33" s="18">
        <f>G49*'Summary Sheet'!$B$15*$AA49</f>
        <v>0</v>
      </c>
      <c r="H33" s="18">
        <f>H49*'Summary Sheet'!$B$15*$AA49</f>
        <v>0</v>
      </c>
      <c r="I33" s="18">
        <f>I49*'Summary Sheet'!$B$15*$AA49</f>
        <v>6.5731199999999967</v>
      </c>
      <c r="J33" s="18">
        <f>J49*'Summary Sheet'!$B$15*$AA49</f>
        <v>223.48607999999993</v>
      </c>
      <c r="K33" s="18">
        <f>K49*'Summary Sheet'!$B$15*$AA49</f>
        <v>1308.0508800000002</v>
      </c>
      <c r="L33" s="18">
        <f>L49*'Summary Sheet'!$B$15*$AA49</f>
        <v>2497.7856000000015</v>
      </c>
      <c r="M33" s="18">
        <f>M49*'Summary Sheet'!$B$15*$AA49</f>
        <v>3595.4966399999985</v>
      </c>
      <c r="N33" s="18">
        <f>N49*'Summary Sheet'!$B$15*$AA49</f>
        <v>4443.4291200000016</v>
      </c>
      <c r="O33" s="18">
        <f>O49*'Summary Sheet'!$B$15*$AA49</f>
        <v>4975.8518399999994</v>
      </c>
      <c r="P33" s="18">
        <f>P49*'Summary Sheet'!$B$15*$AA49</f>
        <v>5127.0335999999979</v>
      </c>
      <c r="Q33" s="18">
        <f>Q49*'Summary Sheet'!$B$15*$AA49</f>
        <v>4732.6463999999987</v>
      </c>
      <c r="R33" s="18">
        <f>R49*'Summary Sheet'!$B$15*$AA49</f>
        <v>3996.4569599999991</v>
      </c>
      <c r="S33" s="18">
        <f>S49*'Summary Sheet'!$B$15*$AA49</f>
        <v>2911.8921600000017</v>
      </c>
      <c r="T33" s="18">
        <f>T49*'Summary Sheet'!$B$15*$AA49</f>
        <v>1715.5843200000013</v>
      </c>
      <c r="U33" s="18">
        <f>U49*'Summary Sheet'!$B$15*$AA49</f>
        <v>427.25280000000015</v>
      </c>
      <c r="V33" s="18">
        <f>V49*'Summary Sheet'!$B$15*$AA49</f>
        <v>39.438720000000018</v>
      </c>
      <c r="W33" s="18">
        <f>W49*'Summary Sheet'!$B$15*$AA49</f>
        <v>0</v>
      </c>
      <c r="X33" s="18">
        <f>X49*'Summary Sheet'!$B$15*$AA49</f>
        <v>0</v>
      </c>
      <c r="Y33" s="18">
        <f>Y49*'Summary Sheet'!$B$15*$AA49</f>
        <v>0</v>
      </c>
      <c r="Z33" s="18">
        <f>Z49*'Summary Sheet'!$B$15*$AA49</f>
        <v>0</v>
      </c>
      <c r="AA33" s="18">
        <v>31</v>
      </c>
      <c r="AB33" s="18">
        <f t="shared" si="111"/>
        <v>797018.97051428573</v>
      </c>
      <c r="AC33" s="18">
        <f t="shared" si="112"/>
        <v>319011.35492571432</v>
      </c>
      <c r="AD33" s="18">
        <f t="shared" si="84"/>
        <v>1116030.32544</v>
      </c>
      <c r="AF33" s="18" t="s">
        <v>2</v>
      </c>
      <c r="AG33" s="17">
        <v>3</v>
      </c>
      <c r="AH33" s="18">
        <f t="shared" si="85"/>
        <v>0</v>
      </c>
      <c r="AI33" s="18">
        <f t="shared" si="86"/>
        <v>0</v>
      </c>
      <c r="AJ33" s="18">
        <f t="shared" si="87"/>
        <v>0</v>
      </c>
      <c r="AK33" s="18">
        <f t="shared" si="88"/>
        <v>0</v>
      </c>
      <c r="AL33" s="18">
        <f t="shared" si="89"/>
        <v>0</v>
      </c>
      <c r="AM33" s="18">
        <f t="shared" si="90"/>
        <v>0</v>
      </c>
      <c r="AN33" s="18">
        <f t="shared" si="91"/>
        <v>6.5731199999999967</v>
      </c>
      <c r="AO33" s="18">
        <f t="shared" si="92"/>
        <v>223.48607999999993</v>
      </c>
      <c r="AP33" s="18">
        <f t="shared" si="93"/>
        <v>1059.2726781432589</v>
      </c>
      <c r="AQ33" s="18">
        <f t="shared" si="94"/>
        <v>1130.8700959092841</v>
      </c>
      <c r="AR33" s="18">
        <f t="shared" si="95"/>
        <v>1187.6433576159338</v>
      </c>
      <c r="AS33" s="18">
        <f t="shared" si="96"/>
        <v>1224.8376152434685</v>
      </c>
      <c r="AT33" s="18">
        <f t="shared" si="97"/>
        <v>1260.2371545865822</v>
      </c>
      <c r="AU33" s="18">
        <f t="shared" si="98"/>
        <v>1244.823477175727</v>
      </c>
      <c r="AV33" s="18">
        <f t="shared" si="99"/>
        <v>1224.0056867199412</v>
      </c>
      <c r="AW33" s="18">
        <f t="shared" si="100"/>
        <v>1207.48796522664</v>
      </c>
      <c r="AX33" s="18">
        <f t="shared" si="101"/>
        <v>1210.1064245491127</v>
      </c>
      <c r="AY33" s="18">
        <f t="shared" si="102"/>
        <v>1172.1573870588375</v>
      </c>
      <c r="AZ33" s="18">
        <f t="shared" si="103"/>
        <v>427.25280000000015</v>
      </c>
      <c r="BA33" s="18">
        <f t="shared" si="104"/>
        <v>39.438720000000018</v>
      </c>
      <c r="BB33" s="18">
        <f t="shared" si="105"/>
        <v>0</v>
      </c>
      <c r="BC33" s="18">
        <f t="shared" si="106"/>
        <v>0</v>
      </c>
      <c r="BD33" s="18">
        <f t="shared" si="107"/>
        <v>0</v>
      </c>
      <c r="BE33" s="18">
        <f t="shared" si="108"/>
        <v>0</v>
      </c>
      <c r="BF33" s="18">
        <v>31</v>
      </c>
      <c r="BG33" s="18">
        <f t="shared" si="113"/>
        <v>279257.2876493517</v>
      </c>
      <c r="BH33" s="18">
        <f t="shared" si="114"/>
        <v>111906.68177974079</v>
      </c>
      <c r="BI33" s="18">
        <f t="shared" si="109"/>
        <v>391163.96942909248</v>
      </c>
      <c r="BK33" s="18" t="s">
        <v>2</v>
      </c>
      <c r="BL33" s="17">
        <v>3</v>
      </c>
      <c r="BM33" s="18">
        <f>IF('Summary Sheet'!$U$20="N",0,MIN(SUM(BM17,CJ65),'Summary Sheet'!$U$21))</f>
        <v>0</v>
      </c>
      <c r="BN33" s="18">
        <f>IF('Summary Sheet'!$U$20="N",0,MIN(SUM(BN17,BM65),'Summary Sheet'!$U$21))</f>
        <v>0</v>
      </c>
      <c r="BO33" s="18">
        <f>IF('Summary Sheet'!$U$20="N",0,MIN(SUM(BO17,BN65),'Summary Sheet'!$U$21))</f>
        <v>0</v>
      </c>
      <c r="BP33" s="18">
        <f>IF('Summary Sheet'!$U$20="N",0,MIN(SUM(BP17,BO65),'Summary Sheet'!$U$21))</f>
        <v>0</v>
      </c>
      <c r="BQ33" s="18">
        <f>IF('Summary Sheet'!$U$20="N",0,MIN(SUM(BQ17,BP65),'Summary Sheet'!$U$21))</f>
        <v>0</v>
      </c>
      <c r="BR33" s="18">
        <f>IF('Summary Sheet'!$U$20="N",0,MIN(SUM(BR17,BQ65),'Summary Sheet'!$U$21))</f>
        <v>0</v>
      </c>
      <c r="BS33" s="18">
        <v>0</v>
      </c>
      <c r="BT33" s="18">
        <f>IF('Summary Sheet'!$U$20="N",0,MIN(SUM(BT17,BS65),'Summary Sheet'!$U$21))</f>
        <v>0</v>
      </c>
      <c r="BU33" s="18">
        <f>IF('Summary Sheet'!$U$20="N",0,MIN(SUM(BU17,BT65),'Summary Sheet'!$U$21))</f>
        <v>0</v>
      </c>
      <c r="BV33" s="18">
        <f>IF('Summary Sheet'!$U$20="N",0,MIN(SUM(BV17,BU65),'Summary Sheet'!$U$21))</f>
        <v>0</v>
      </c>
      <c r="BW33" s="18">
        <f>IF('Summary Sheet'!$U$20="N",0,MIN(SUM(BW17,BV65),'Summary Sheet'!$U$21))</f>
        <v>0</v>
      </c>
      <c r="BX33" s="18">
        <f>IF('Summary Sheet'!$U$20="N",0,MIN(SUM(BX17,BW65),'Summary Sheet'!$U$21))</f>
        <v>0</v>
      </c>
      <c r="BY33" s="18">
        <f>IF('Summary Sheet'!$U$20="N",0,MIN(SUM(BY17,BX65),'Summary Sheet'!$U$21))</f>
        <v>0</v>
      </c>
      <c r="BZ33" s="18">
        <f>IF('Summary Sheet'!$U$20="N",0,MIN(SUM(BZ17,BY65),'Summary Sheet'!$U$21))</f>
        <v>0</v>
      </c>
      <c r="CA33" s="18">
        <f>IF('Summary Sheet'!$U$20="N",0,MIN(SUM(CA17,BZ65),'Summary Sheet'!$U$21))</f>
        <v>0</v>
      </c>
      <c r="CB33" s="18">
        <f>IF('Summary Sheet'!$U$20="N",0,MIN(SUM(CB17,CA65),'Summary Sheet'!$U$21))</f>
        <v>0</v>
      </c>
      <c r="CC33" s="18">
        <f>IF('Summary Sheet'!$U$20="N",0,MIN(SUM(CC17,CB65),'Summary Sheet'!$U$21))</f>
        <v>0</v>
      </c>
      <c r="CD33" s="18">
        <f>IF('Summary Sheet'!$U$20="N",0,MIN(SUM(CD17,CC65),'Summary Sheet'!$U$21))</f>
        <v>0</v>
      </c>
      <c r="CE33" s="18">
        <f>IF('Summary Sheet'!$U$20="N",0,MIN(SUM(CE17,CD65),'Summary Sheet'!$U$21))</f>
        <v>0</v>
      </c>
      <c r="CF33" s="18">
        <f>IF('Summary Sheet'!$U$20="N",0,MIN(SUM(CF17,CE65),'Summary Sheet'!$U$21))</f>
        <v>0</v>
      </c>
      <c r="CG33" s="18">
        <f>IF('Summary Sheet'!$U$20="N",0,MIN(SUM(CG17,CF65),'Summary Sheet'!$U$21))</f>
        <v>0</v>
      </c>
      <c r="CH33" s="18">
        <f>IF('Summary Sheet'!$U$20="N",0,MIN(SUM(CH17,CG65),'Summary Sheet'!$U$21))</f>
        <v>0</v>
      </c>
      <c r="CI33" s="18">
        <f>IF('Summary Sheet'!$U$20="N",0,MIN(SUM(CI17,CH65),'Summary Sheet'!$U$21))</f>
        <v>0</v>
      </c>
      <c r="CJ33" s="18">
        <f>IF('Summary Sheet'!$U$20="N",0,MIN(SUM(CJ17,CI65),'Summary Sheet'!$U$21))</f>
        <v>0</v>
      </c>
      <c r="CK33" s="18">
        <v>31</v>
      </c>
      <c r="CL33" s="18">
        <f t="shared" si="115"/>
        <v>0</v>
      </c>
      <c r="CM33" s="18">
        <f t="shared" si="116"/>
        <v>0</v>
      </c>
      <c r="CN33" s="18">
        <f t="shared" si="110"/>
        <v>0</v>
      </c>
    </row>
    <row r="34" spans="1:92" x14ac:dyDescent="0.25">
      <c r="A34" s="18" t="s">
        <v>3</v>
      </c>
      <c r="B34" s="17">
        <v>4</v>
      </c>
      <c r="C34" s="18">
        <f>C50*'Summary Sheet'!$B$15*$AA50</f>
        <v>0</v>
      </c>
      <c r="D34" s="18">
        <f>D50*'Summary Sheet'!$B$15*$AA50</f>
        <v>0</v>
      </c>
      <c r="E34" s="18">
        <f>E50*'Summary Sheet'!$B$15*$AA50</f>
        <v>0</v>
      </c>
      <c r="F34" s="18">
        <f>F50*'Summary Sheet'!$B$15*$AA50</f>
        <v>0</v>
      </c>
      <c r="G34" s="18">
        <f>G50*'Summary Sheet'!$B$15*$AA50</f>
        <v>0</v>
      </c>
      <c r="H34" s="18">
        <f>H50*'Summary Sheet'!$B$15*$AA50</f>
        <v>0</v>
      </c>
      <c r="I34" s="18">
        <f>I50*'Summary Sheet'!$B$15*$AA50</f>
        <v>0</v>
      </c>
      <c r="J34" s="18">
        <f>J50*'Summary Sheet'!$B$15*$AA50</f>
        <v>65.731199999999987</v>
      </c>
      <c r="K34" s="18">
        <f>K50*'Summary Sheet'!$B$15*$AA50</f>
        <v>762.4819199999996</v>
      </c>
      <c r="L34" s="18">
        <f>L50*'Summary Sheet'!$B$15*$AA50</f>
        <v>2116.5446400000001</v>
      </c>
      <c r="M34" s="18">
        <f>M50*'Summary Sheet'!$B$15*$AA50</f>
        <v>3201.1094400000006</v>
      </c>
      <c r="N34" s="18">
        <f>N50*'Summary Sheet'!$B$15*$AA50</f>
        <v>3897.8601599999974</v>
      </c>
      <c r="O34" s="18">
        <f>O50*'Summary Sheet'!$B$15*$AA50</f>
        <v>4377.6979200000023</v>
      </c>
      <c r="P34" s="18">
        <f>P50*'Summary Sheet'!$B$15*$AA50</f>
        <v>4338.2592000000004</v>
      </c>
      <c r="Q34" s="18">
        <f>Q50*'Summary Sheet'!$B$15*$AA50</f>
        <v>3924.1526400000007</v>
      </c>
      <c r="R34" s="18">
        <f>R50*'Summary Sheet'!$B$15*$AA50</f>
        <v>3161.6707199999992</v>
      </c>
      <c r="S34" s="18">
        <f>S50*'Summary Sheet'!$B$15*$AA50</f>
        <v>2155.9833599999997</v>
      </c>
      <c r="T34" s="18">
        <f>T50*'Summary Sheet'!$B$15*$AA50</f>
        <v>795.34751999999969</v>
      </c>
      <c r="U34" s="18">
        <f>U50*'Summary Sheet'!$B$15*$AA50</f>
        <v>78.877440000000021</v>
      </c>
      <c r="V34" s="18">
        <f>V50*'Summary Sheet'!$B$15*$AA50</f>
        <v>0</v>
      </c>
      <c r="W34" s="18">
        <f>W50*'Summary Sheet'!$B$15*$AA50</f>
        <v>0</v>
      </c>
      <c r="X34" s="18">
        <f>X50*'Summary Sheet'!$B$15*$AA50</f>
        <v>0</v>
      </c>
      <c r="Y34" s="18">
        <f>Y50*'Summary Sheet'!$B$15*$AA50</f>
        <v>0</v>
      </c>
      <c r="Z34" s="18">
        <f>Z50*'Summary Sheet'!$B$15*$AA50</f>
        <v>0</v>
      </c>
      <c r="AA34" s="18">
        <v>30</v>
      </c>
      <c r="AB34" s="18">
        <f t="shared" si="111"/>
        <v>618765.34628571419</v>
      </c>
      <c r="AC34" s="18">
        <f t="shared" si="112"/>
        <v>247506.13851428567</v>
      </c>
      <c r="AD34" s="18">
        <f t="shared" si="84"/>
        <v>866271.48479999986</v>
      </c>
      <c r="AF34" s="18" t="s">
        <v>3</v>
      </c>
      <c r="AG34" s="17">
        <v>4</v>
      </c>
      <c r="AH34" s="18">
        <f t="shared" si="85"/>
        <v>0</v>
      </c>
      <c r="AI34" s="18">
        <f t="shared" si="86"/>
        <v>0</v>
      </c>
      <c r="AJ34" s="18">
        <f t="shared" si="87"/>
        <v>0</v>
      </c>
      <c r="AK34" s="18">
        <f t="shared" si="88"/>
        <v>0</v>
      </c>
      <c r="AL34" s="18">
        <f t="shared" si="89"/>
        <v>0</v>
      </c>
      <c r="AM34" s="18">
        <f t="shared" si="90"/>
        <v>0</v>
      </c>
      <c r="AN34" s="18">
        <f t="shared" si="91"/>
        <v>0</v>
      </c>
      <c r="AO34" s="18">
        <f t="shared" si="92"/>
        <v>65.731199999999987</v>
      </c>
      <c r="AP34" s="18">
        <f t="shared" si="93"/>
        <v>762.4819199999996</v>
      </c>
      <c r="AQ34" s="18">
        <f t="shared" si="94"/>
        <v>875.43615523011078</v>
      </c>
      <c r="AR34" s="18">
        <f t="shared" si="95"/>
        <v>919.1823794386703</v>
      </c>
      <c r="AS34" s="18">
        <f t="shared" si="96"/>
        <v>910.3044496806084</v>
      </c>
      <c r="AT34" s="18">
        <f t="shared" si="97"/>
        <v>925.56094318138253</v>
      </c>
      <c r="AU34" s="18">
        <f t="shared" si="98"/>
        <v>944.79378203028136</v>
      </c>
      <c r="AV34" s="18">
        <f t="shared" si="99"/>
        <v>943.97372588767678</v>
      </c>
      <c r="AW34" s="18">
        <f t="shared" si="100"/>
        <v>935.43805655410256</v>
      </c>
      <c r="AX34" s="18">
        <f t="shared" si="101"/>
        <v>943.05703385117329</v>
      </c>
      <c r="AY34" s="18">
        <f t="shared" si="102"/>
        <v>795.34751999999969</v>
      </c>
      <c r="AZ34" s="18">
        <f t="shared" si="103"/>
        <v>78.877440000000021</v>
      </c>
      <c r="BA34" s="18">
        <f t="shared" si="104"/>
        <v>0</v>
      </c>
      <c r="BB34" s="18">
        <f t="shared" si="105"/>
        <v>0</v>
      </c>
      <c r="BC34" s="18">
        <f t="shared" si="106"/>
        <v>0</v>
      </c>
      <c r="BD34" s="18">
        <f t="shared" si="107"/>
        <v>0</v>
      </c>
      <c r="BE34" s="18">
        <f t="shared" si="108"/>
        <v>0</v>
      </c>
      <c r="BF34" s="18">
        <v>30</v>
      </c>
      <c r="BG34" s="18">
        <f t="shared" si="113"/>
        <v>195003.95583972867</v>
      </c>
      <c r="BH34" s="18">
        <f t="shared" si="114"/>
        <v>78001.582335891464</v>
      </c>
      <c r="BI34" s="18">
        <f t="shared" si="109"/>
        <v>273005.53817562014</v>
      </c>
      <c r="BK34" s="18" t="s">
        <v>3</v>
      </c>
      <c r="BL34" s="17">
        <v>4</v>
      </c>
      <c r="BM34" s="18">
        <f>IF('Summary Sheet'!$U$20="N",0,MIN(SUM(BM18,CJ66),'Summary Sheet'!$U$21))</f>
        <v>0</v>
      </c>
      <c r="BN34" s="18">
        <f>IF('Summary Sheet'!$U$20="N",0,MIN(SUM(BN18,BM66),'Summary Sheet'!$U$21))</f>
        <v>0</v>
      </c>
      <c r="BO34" s="18">
        <f>IF('Summary Sheet'!$U$20="N",0,MIN(SUM(BO18,BN66),'Summary Sheet'!$U$21))</f>
        <v>0</v>
      </c>
      <c r="BP34" s="18">
        <f>IF('Summary Sheet'!$U$20="N",0,MIN(SUM(BP18,BO66),'Summary Sheet'!$U$21))</f>
        <v>0</v>
      </c>
      <c r="BQ34" s="18">
        <f>IF('Summary Sheet'!$U$20="N",0,MIN(SUM(BQ18,BP66),'Summary Sheet'!$U$21))</f>
        <v>0</v>
      </c>
      <c r="BR34" s="18">
        <f>IF('Summary Sheet'!$U$20="N",0,MIN(SUM(BR18,BQ66),'Summary Sheet'!$U$21))</f>
        <v>0</v>
      </c>
      <c r="BS34" s="18">
        <v>0</v>
      </c>
      <c r="BT34" s="18">
        <f>IF('Summary Sheet'!$U$20="N",0,MIN(SUM(BT18,BS66),'Summary Sheet'!$U$21))</f>
        <v>0</v>
      </c>
      <c r="BU34" s="18">
        <f>IF('Summary Sheet'!$U$20="N",0,MIN(SUM(BU18,BT66),'Summary Sheet'!$U$21))</f>
        <v>0</v>
      </c>
      <c r="BV34" s="18">
        <f>IF('Summary Sheet'!$U$20="N",0,MIN(SUM(BV18,BU66),'Summary Sheet'!$U$21))</f>
        <v>0</v>
      </c>
      <c r="BW34" s="18">
        <f>IF('Summary Sheet'!$U$20="N",0,MIN(SUM(BW18,BV66),'Summary Sheet'!$U$21))</f>
        <v>0</v>
      </c>
      <c r="BX34" s="18">
        <f>IF('Summary Sheet'!$U$20="N",0,MIN(SUM(BX18,BW66),'Summary Sheet'!$U$21))</f>
        <v>0</v>
      </c>
      <c r="BY34" s="18">
        <f>IF('Summary Sheet'!$U$20="N",0,MIN(SUM(BY18,BX66),'Summary Sheet'!$U$21))</f>
        <v>0</v>
      </c>
      <c r="BZ34" s="18">
        <f>IF('Summary Sheet'!$U$20="N",0,MIN(SUM(BZ18,BY66),'Summary Sheet'!$U$21))</f>
        <v>0</v>
      </c>
      <c r="CA34" s="18">
        <f>IF('Summary Sheet'!$U$20="N",0,MIN(SUM(CA18,BZ66),'Summary Sheet'!$U$21))</f>
        <v>0</v>
      </c>
      <c r="CB34" s="18">
        <f>IF('Summary Sheet'!$U$20="N",0,MIN(SUM(CB18,CA66),'Summary Sheet'!$U$21))</f>
        <v>0</v>
      </c>
      <c r="CC34" s="18">
        <f>IF('Summary Sheet'!$U$20="N",0,MIN(SUM(CC18,CB66),'Summary Sheet'!$U$21))</f>
        <v>0</v>
      </c>
      <c r="CD34" s="18">
        <f>IF('Summary Sheet'!$U$20="N",0,MIN(SUM(CD18,CC66),'Summary Sheet'!$U$21))</f>
        <v>0</v>
      </c>
      <c r="CE34" s="18">
        <f>IF('Summary Sheet'!$U$20="N",0,MIN(SUM(CE18,CD66),'Summary Sheet'!$U$21))</f>
        <v>0</v>
      </c>
      <c r="CF34" s="18">
        <f>IF('Summary Sheet'!$U$20="N",0,MIN(SUM(CF18,CE66),'Summary Sheet'!$U$21))</f>
        <v>0</v>
      </c>
      <c r="CG34" s="18">
        <f>IF('Summary Sheet'!$U$20="N",0,MIN(SUM(CG18,CF66),'Summary Sheet'!$U$21))</f>
        <v>0</v>
      </c>
      <c r="CH34" s="18">
        <f>IF('Summary Sheet'!$U$20="N",0,MIN(SUM(CH18,CG66),'Summary Sheet'!$U$21))</f>
        <v>0</v>
      </c>
      <c r="CI34" s="18">
        <f>IF('Summary Sheet'!$U$20="N",0,MIN(SUM(CI18,CH66),'Summary Sheet'!$U$21))</f>
        <v>0</v>
      </c>
      <c r="CJ34" s="18">
        <f>IF('Summary Sheet'!$U$20="N",0,MIN(SUM(CJ18,CI66),'Summary Sheet'!$U$21))</f>
        <v>0</v>
      </c>
      <c r="CK34" s="18">
        <v>30</v>
      </c>
      <c r="CL34" s="18">
        <f t="shared" si="115"/>
        <v>0</v>
      </c>
      <c r="CM34" s="18">
        <f t="shared" si="116"/>
        <v>0</v>
      </c>
      <c r="CN34" s="18">
        <f t="shared" si="110"/>
        <v>0</v>
      </c>
    </row>
    <row r="35" spans="1:92" x14ac:dyDescent="0.25">
      <c r="A35" s="18" t="s">
        <v>4</v>
      </c>
      <c r="B35" s="17">
        <v>5</v>
      </c>
      <c r="C35" s="18">
        <f>C51*'Summary Sheet'!$B$15*$AA51</f>
        <v>0</v>
      </c>
      <c r="D35" s="18">
        <f>D51*'Summary Sheet'!$B$15*$AA51</f>
        <v>0</v>
      </c>
      <c r="E35" s="18">
        <f>E51*'Summary Sheet'!$B$15*$AA51</f>
        <v>0</v>
      </c>
      <c r="F35" s="18">
        <f>F51*'Summary Sheet'!$B$15*$AA51</f>
        <v>0</v>
      </c>
      <c r="G35" s="18">
        <f>G51*'Summary Sheet'!$B$15*$AA51</f>
        <v>0</v>
      </c>
      <c r="H35" s="18">
        <f>H51*'Summary Sheet'!$B$15*$AA51</f>
        <v>0</v>
      </c>
      <c r="I35" s="18">
        <f>I51*'Summary Sheet'!$B$15*$AA51</f>
        <v>0</v>
      </c>
      <c r="J35" s="18">
        <f>J51*'Summary Sheet'!$B$15*$AA51</f>
        <v>6.5731199999999967</v>
      </c>
      <c r="K35" s="18">
        <f>K51*'Summary Sheet'!$B$15*$AA51</f>
        <v>269.49791999999997</v>
      </c>
      <c r="L35" s="18">
        <f>L51*'Summary Sheet'!$B$15*$AA51</f>
        <v>1485.5251199999991</v>
      </c>
      <c r="M35" s="18">
        <f>M51*'Summary Sheet'!$B$15*$AA51</f>
        <v>2510.9318400000002</v>
      </c>
      <c r="N35" s="18">
        <f>N51*'Summary Sheet'!$B$15*$AA51</f>
        <v>3233.9750400000012</v>
      </c>
      <c r="O35" s="18">
        <f>O51*'Summary Sheet'!$B$15*$AA51</f>
        <v>3516.6192000000005</v>
      </c>
      <c r="P35" s="18">
        <f>P51*'Summary Sheet'!$B$15*$AA51</f>
        <v>3464.0342400000036</v>
      </c>
      <c r="Q35" s="18">
        <f>Q51*'Summary Sheet'!$B$15*$AA51</f>
        <v>3043.3545600000025</v>
      </c>
      <c r="R35" s="18">
        <f>R51*'Summary Sheet'!$B$15*$AA51</f>
        <v>2280.872640000001</v>
      </c>
      <c r="S35" s="18">
        <f>S51*'Summary Sheet'!$B$15*$AA51</f>
        <v>1340.9164799999999</v>
      </c>
      <c r="T35" s="18">
        <f>T51*'Summary Sheet'!$B$15*$AA51</f>
        <v>216.91295999999991</v>
      </c>
      <c r="U35" s="18">
        <f>U51*'Summary Sheet'!$B$15*$AA51</f>
        <v>6.5731199999999967</v>
      </c>
      <c r="V35" s="18">
        <f>V51*'Summary Sheet'!$B$15*$AA51</f>
        <v>0</v>
      </c>
      <c r="W35" s="18">
        <f>W51*'Summary Sheet'!$B$15*$AA51</f>
        <v>0</v>
      </c>
      <c r="X35" s="18">
        <f>X51*'Summary Sheet'!$B$15*$AA51</f>
        <v>0</v>
      </c>
      <c r="Y35" s="18">
        <f>Y51*'Summary Sheet'!$B$15*$AA51</f>
        <v>0</v>
      </c>
      <c r="Z35" s="18">
        <f>Z51*'Summary Sheet'!$B$15*$AA51</f>
        <v>0</v>
      </c>
      <c r="AA35" s="18">
        <v>31</v>
      </c>
      <c r="AB35" s="18">
        <f t="shared" si="111"/>
        <v>473320.98102857167</v>
      </c>
      <c r="AC35" s="18">
        <f t="shared" si="112"/>
        <v>189328.39241142868</v>
      </c>
      <c r="AD35" s="18">
        <f t="shared" si="84"/>
        <v>662649.37344000034</v>
      </c>
      <c r="AF35" s="18" t="s">
        <v>4</v>
      </c>
      <c r="AG35" s="17">
        <v>5</v>
      </c>
      <c r="AH35" s="18">
        <f t="shared" si="85"/>
        <v>0</v>
      </c>
      <c r="AI35" s="18">
        <f t="shared" si="86"/>
        <v>0</v>
      </c>
      <c r="AJ35" s="18">
        <f t="shared" si="87"/>
        <v>0</v>
      </c>
      <c r="AK35" s="18">
        <f t="shared" si="88"/>
        <v>0</v>
      </c>
      <c r="AL35" s="18">
        <f t="shared" si="89"/>
        <v>0</v>
      </c>
      <c r="AM35" s="18">
        <f t="shared" si="90"/>
        <v>0</v>
      </c>
      <c r="AN35" s="18">
        <f t="shared" si="91"/>
        <v>0</v>
      </c>
      <c r="AO35" s="18">
        <f t="shared" si="92"/>
        <v>6.5731199999999967</v>
      </c>
      <c r="AP35" s="18">
        <f t="shared" si="93"/>
        <v>269.49791999999997</v>
      </c>
      <c r="AQ35" s="18">
        <f t="shared" si="94"/>
        <v>903.23832734588825</v>
      </c>
      <c r="AR35" s="18">
        <f t="shared" si="95"/>
        <v>923.12868047971165</v>
      </c>
      <c r="AS35" s="18">
        <f t="shared" si="96"/>
        <v>909.84661679867236</v>
      </c>
      <c r="AT35" s="18">
        <f t="shared" si="97"/>
        <v>904.88383487044109</v>
      </c>
      <c r="AU35" s="18">
        <f t="shared" si="98"/>
        <v>904.75974335280068</v>
      </c>
      <c r="AV35" s="18">
        <f t="shared" si="99"/>
        <v>898.25967385239551</v>
      </c>
      <c r="AW35" s="18">
        <f t="shared" si="100"/>
        <v>897.38554816104488</v>
      </c>
      <c r="AX35" s="18">
        <f t="shared" si="101"/>
        <v>948.79949974941087</v>
      </c>
      <c r="AY35" s="18">
        <f t="shared" si="102"/>
        <v>216.91295999999991</v>
      </c>
      <c r="AZ35" s="18">
        <f t="shared" si="103"/>
        <v>6.5731199999999967</v>
      </c>
      <c r="BA35" s="18">
        <f t="shared" si="104"/>
        <v>0</v>
      </c>
      <c r="BB35" s="18">
        <f t="shared" si="105"/>
        <v>0</v>
      </c>
      <c r="BC35" s="18">
        <f t="shared" si="106"/>
        <v>0</v>
      </c>
      <c r="BD35" s="18">
        <f t="shared" si="107"/>
        <v>0</v>
      </c>
      <c r="BE35" s="18">
        <f t="shared" si="108"/>
        <v>0</v>
      </c>
      <c r="BF35" s="18">
        <v>31</v>
      </c>
      <c r="BG35" s="18">
        <f t="shared" si="113"/>
        <v>172489.7359878009</v>
      </c>
      <c r="BH35" s="18">
        <f t="shared" si="114"/>
        <v>68995.894395120384</v>
      </c>
      <c r="BI35" s="18">
        <f t="shared" si="109"/>
        <v>241485.63038292128</v>
      </c>
      <c r="BK35" s="18" t="s">
        <v>4</v>
      </c>
      <c r="BL35" s="17">
        <v>5</v>
      </c>
      <c r="BM35" s="18">
        <f>IF('Summary Sheet'!$U$20="N",0,MIN(SUM(BM19,CJ67),'Summary Sheet'!$U$21))</f>
        <v>0</v>
      </c>
      <c r="BN35" s="18">
        <f>IF('Summary Sheet'!$U$20="N",0,MIN(SUM(BN19,BM67),'Summary Sheet'!$U$21))</f>
        <v>0</v>
      </c>
      <c r="BO35" s="18">
        <f>IF('Summary Sheet'!$U$20="N",0,MIN(SUM(BO19,BN67),'Summary Sheet'!$U$21))</f>
        <v>0</v>
      </c>
      <c r="BP35" s="18">
        <f>IF('Summary Sheet'!$U$20="N",0,MIN(SUM(BP19,BO67),'Summary Sheet'!$U$21))</f>
        <v>0</v>
      </c>
      <c r="BQ35" s="18">
        <f>IF('Summary Sheet'!$U$20="N",0,MIN(SUM(BQ19,BP67),'Summary Sheet'!$U$21))</f>
        <v>0</v>
      </c>
      <c r="BR35" s="18">
        <f>IF('Summary Sheet'!$U$20="N",0,MIN(SUM(BR19,BQ67),'Summary Sheet'!$U$21))</f>
        <v>0</v>
      </c>
      <c r="BS35" s="18">
        <v>0</v>
      </c>
      <c r="BT35" s="18">
        <f>IF('Summary Sheet'!$U$20="N",0,MIN(SUM(BT19,BS67),'Summary Sheet'!$U$21))</f>
        <v>0</v>
      </c>
      <c r="BU35" s="18">
        <f>IF('Summary Sheet'!$U$20="N",0,MIN(SUM(BU19,BT67),'Summary Sheet'!$U$21))</f>
        <v>0</v>
      </c>
      <c r="BV35" s="18">
        <f>IF('Summary Sheet'!$U$20="N",0,MIN(SUM(BV19,BU67),'Summary Sheet'!$U$21))</f>
        <v>0</v>
      </c>
      <c r="BW35" s="18">
        <f>IF('Summary Sheet'!$U$20="N",0,MIN(SUM(BW19,BV67),'Summary Sheet'!$U$21))</f>
        <v>0</v>
      </c>
      <c r="BX35" s="18">
        <f>IF('Summary Sheet'!$U$20="N",0,MIN(SUM(BX19,BW67),'Summary Sheet'!$U$21))</f>
        <v>0</v>
      </c>
      <c r="BY35" s="18">
        <f>IF('Summary Sheet'!$U$20="N",0,MIN(SUM(BY19,BX67),'Summary Sheet'!$U$21))</f>
        <v>0</v>
      </c>
      <c r="BZ35" s="18">
        <f>IF('Summary Sheet'!$U$20="N",0,MIN(SUM(BZ19,BY67),'Summary Sheet'!$U$21))</f>
        <v>0</v>
      </c>
      <c r="CA35" s="18">
        <f>IF('Summary Sheet'!$U$20="N",0,MIN(SUM(CA19,BZ67),'Summary Sheet'!$U$21))</f>
        <v>0</v>
      </c>
      <c r="CB35" s="18">
        <f>IF('Summary Sheet'!$U$20="N",0,MIN(SUM(CB19,CA67),'Summary Sheet'!$U$21))</f>
        <v>0</v>
      </c>
      <c r="CC35" s="18">
        <f>IF('Summary Sheet'!$U$20="N",0,MIN(SUM(CC19,CB67),'Summary Sheet'!$U$21))</f>
        <v>0</v>
      </c>
      <c r="CD35" s="18">
        <f>IF('Summary Sheet'!$U$20="N",0,MIN(SUM(CD19,CC67),'Summary Sheet'!$U$21))</f>
        <v>0</v>
      </c>
      <c r="CE35" s="18">
        <f>IF('Summary Sheet'!$U$20="N",0,MIN(SUM(CE19,CD67),'Summary Sheet'!$U$21))</f>
        <v>0</v>
      </c>
      <c r="CF35" s="18">
        <f>IF('Summary Sheet'!$U$20="N",0,MIN(SUM(CF19,CE67),'Summary Sheet'!$U$21))</f>
        <v>0</v>
      </c>
      <c r="CG35" s="18">
        <f>IF('Summary Sheet'!$U$20="N",0,MIN(SUM(CG19,CF67),'Summary Sheet'!$U$21))</f>
        <v>0</v>
      </c>
      <c r="CH35" s="18">
        <f>IF('Summary Sheet'!$U$20="N",0,MIN(SUM(CH19,CG67),'Summary Sheet'!$U$21))</f>
        <v>0</v>
      </c>
      <c r="CI35" s="18">
        <f>IF('Summary Sheet'!$U$20="N",0,MIN(SUM(CI19,CH67),'Summary Sheet'!$U$21))</f>
        <v>0</v>
      </c>
      <c r="CJ35" s="18">
        <f>IF('Summary Sheet'!$U$20="N",0,MIN(SUM(CJ19,CI67),'Summary Sheet'!$U$21))</f>
        <v>0</v>
      </c>
      <c r="CK35" s="18">
        <v>31</v>
      </c>
      <c r="CL35" s="18">
        <f t="shared" si="115"/>
        <v>0</v>
      </c>
      <c r="CM35" s="18">
        <f t="shared" si="116"/>
        <v>0</v>
      </c>
      <c r="CN35" s="18">
        <f t="shared" si="110"/>
        <v>0</v>
      </c>
    </row>
    <row r="36" spans="1:92" x14ac:dyDescent="0.25">
      <c r="A36" s="18" t="s">
        <v>5</v>
      </c>
      <c r="B36" s="17">
        <v>6</v>
      </c>
      <c r="C36" s="18">
        <f>C52*'Summary Sheet'!$B$15*$AA52</f>
        <v>0</v>
      </c>
      <c r="D36" s="18">
        <f>D52*'Summary Sheet'!$B$15*$AA52</f>
        <v>0</v>
      </c>
      <c r="E36" s="18">
        <f>E52*'Summary Sheet'!$B$15*$AA52</f>
        <v>0</v>
      </c>
      <c r="F36" s="18">
        <f>F52*'Summary Sheet'!$B$15*$AA52</f>
        <v>0</v>
      </c>
      <c r="G36" s="18">
        <f>G52*'Summary Sheet'!$B$15*$AA52</f>
        <v>0</v>
      </c>
      <c r="H36" s="18">
        <f>H52*'Summary Sheet'!$B$15*$AA52</f>
        <v>0</v>
      </c>
      <c r="I36" s="18">
        <f>I52*'Summary Sheet'!$B$15*$AA52</f>
        <v>0</v>
      </c>
      <c r="J36" s="18">
        <f>J52*'Summary Sheet'!$B$15*$AA52</f>
        <v>0</v>
      </c>
      <c r="K36" s="18">
        <f>K52*'Summary Sheet'!$B$15*$AA52</f>
        <v>111.74303999999998</v>
      </c>
      <c r="L36" s="18">
        <f>L52*'Summary Sheet'!$B$15*$AA52</f>
        <v>920.23679999999979</v>
      </c>
      <c r="M36" s="18">
        <f>M52*'Summary Sheet'!$B$15*$AA52</f>
        <v>2083.6790400000014</v>
      </c>
      <c r="N36" s="18">
        <f>N52*'Summary Sheet'!$B$15*$AA52</f>
        <v>2852.7340799999997</v>
      </c>
      <c r="O36" s="18">
        <f>O52*'Summary Sheet'!$B$15*$AA52</f>
        <v>3141.9513600000014</v>
      </c>
      <c r="P36" s="18">
        <f>P52*'Summary Sheet'!$B$15*$AA52</f>
        <v>3010.4889600000015</v>
      </c>
      <c r="Q36" s="18">
        <f>Q52*'Summary Sheet'!$B$15*$AA52</f>
        <v>2662.1135999999983</v>
      </c>
      <c r="R36" s="18">
        <f>R52*'Summary Sheet'!$B$15*$AA52</f>
        <v>1965.3628800000006</v>
      </c>
      <c r="S36" s="18">
        <f>S52*'Summary Sheet'!$B$15*$AA52</f>
        <v>1025.4067199999993</v>
      </c>
      <c r="T36" s="18">
        <f>T52*'Summary Sheet'!$B$15*$AA52</f>
        <v>131.46239999999997</v>
      </c>
      <c r="U36" s="18">
        <f>U52*'Summary Sheet'!$B$15*$AA52</f>
        <v>0</v>
      </c>
      <c r="V36" s="18">
        <f>V52*'Summary Sheet'!$B$15*$AA52</f>
        <v>0</v>
      </c>
      <c r="W36" s="18">
        <f>W52*'Summary Sheet'!$B$15*$AA52</f>
        <v>0</v>
      </c>
      <c r="X36" s="18">
        <f>X52*'Summary Sheet'!$B$15*$AA52</f>
        <v>0</v>
      </c>
      <c r="Y36" s="18">
        <f>Y52*'Summary Sheet'!$B$15*$AA52</f>
        <v>0</v>
      </c>
      <c r="Z36" s="18">
        <f>Z52*'Summary Sheet'!$B$15*$AA52</f>
        <v>0</v>
      </c>
      <c r="AA36" s="18">
        <v>30</v>
      </c>
      <c r="AB36" s="18">
        <f t="shared" si="111"/>
        <v>383682.4045714286</v>
      </c>
      <c r="AC36" s="18">
        <f t="shared" si="112"/>
        <v>153472.96182857145</v>
      </c>
      <c r="AD36" s="18">
        <f t="shared" si="84"/>
        <v>537155.36640000006</v>
      </c>
      <c r="AF36" s="18" t="s">
        <v>5</v>
      </c>
      <c r="AG36" s="17">
        <v>6</v>
      </c>
      <c r="AH36" s="18">
        <f t="shared" si="85"/>
        <v>0</v>
      </c>
      <c r="AI36" s="18">
        <f t="shared" si="86"/>
        <v>0</v>
      </c>
      <c r="AJ36" s="18">
        <f t="shared" si="87"/>
        <v>0</v>
      </c>
      <c r="AK36" s="18">
        <f t="shared" si="88"/>
        <v>0</v>
      </c>
      <c r="AL36" s="18">
        <f t="shared" si="89"/>
        <v>0</v>
      </c>
      <c r="AM36" s="18">
        <f t="shared" si="90"/>
        <v>0</v>
      </c>
      <c r="AN36" s="18">
        <f t="shared" si="91"/>
        <v>0</v>
      </c>
      <c r="AO36" s="18">
        <f t="shared" si="92"/>
        <v>0</v>
      </c>
      <c r="AP36" s="18">
        <f t="shared" si="93"/>
        <v>111.74303999999998</v>
      </c>
      <c r="AQ36" s="18">
        <f t="shared" si="94"/>
        <v>920.23679999999979</v>
      </c>
      <c r="AR36" s="18">
        <f t="shared" si="95"/>
        <v>1017.2838812459381</v>
      </c>
      <c r="AS36" s="18">
        <f t="shared" si="96"/>
        <v>987.95176175483221</v>
      </c>
      <c r="AT36" s="18">
        <f t="shared" si="97"/>
        <v>972.84107880355771</v>
      </c>
      <c r="AU36" s="18">
        <f t="shared" si="98"/>
        <v>958.72042971104349</v>
      </c>
      <c r="AV36" s="18">
        <f t="shared" si="99"/>
        <v>944.87461827402853</v>
      </c>
      <c r="AW36" s="18">
        <f t="shared" si="100"/>
        <v>941.25993122579541</v>
      </c>
      <c r="AX36" s="18">
        <f t="shared" si="101"/>
        <v>991.99640697757513</v>
      </c>
      <c r="AY36" s="18">
        <f t="shared" si="102"/>
        <v>131.46239999999997</v>
      </c>
      <c r="AZ36" s="18">
        <f t="shared" si="103"/>
        <v>0</v>
      </c>
      <c r="BA36" s="18">
        <f t="shared" si="104"/>
        <v>0</v>
      </c>
      <c r="BB36" s="18">
        <f t="shared" si="105"/>
        <v>0</v>
      </c>
      <c r="BC36" s="18">
        <f t="shared" si="106"/>
        <v>0</v>
      </c>
      <c r="BD36" s="18">
        <f t="shared" si="107"/>
        <v>0</v>
      </c>
      <c r="BE36" s="18">
        <f t="shared" si="108"/>
        <v>0</v>
      </c>
      <c r="BF36" s="18">
        <v>30</v>
      </c>
      <c r="BG36" s="18">
        <f t="shared" si="113"/>
        <v>170965.0788855594</v>
      </c>
      <c r="BH36" s="18">
        <f t="shared" si="114"/>
        <v>68386.031554223737</v>
      </c>
      <c r="BI36" s="18">
        <f t="shared" si="109"/>
        <v>239351.11043978314</v>
      </c>
      <c r="BK36" s="18" t="s">
        <v>5</v>
      </c>
      <c r="BL36" s="17">
        <v>6</v>
      </c>
      <c r="BM36" s="18">
        <f>IF('Summary Sheet'!$U$20="N",0,MIN(SUM(BM20,CJ68),'Summary Sheet'!$U$21))</f>
        <v>0</v>
      </c>
      <c r="BN36" s="18">
        <f>IF('Summary Sheet'!$U$20="N",0,MIN(SUM(BN20,BM68),'Summary Sheet'!$U$21))</f>
        <v>0</v>
      </c>
      <c r="BO36" s="18">
        <f>IF('Summary Sheet'!$U$20="N",0,MIN(SUM(BO20,BN68),'Summary Sheet'!$U$21))</f>
        <v>0</v>
      </c>
      <c r="BP36" s="18">
        <f>IF('Summary Sheet'!$U$20="N",0,MIN(SUM(BP20,BO68),'Summary Sheet'!$U$21))</f>
        <v>0</v>
      </c>
      <c r="BQ36" s="18">
        <f>IF('Summary Sheet'!$U$20="N",0,MIN(SUM(BQ20,BP68),'Summary Sheet'!$U$21))</f>
        <v>0</v>
      </c>
      <c r="BR36" s="18">
        <f>IF('Summary Sheet'!$U$20="N",0,MIN(SUM(BR20,BQ68),'Summary Sheet'!$U$21))</f>
        <v>0</v>
      </c>
      <c r="BS36" s="18">
        <v>0</v>
      </c>
      <c r="BT36" s="18">
        <f>IF('Summary Sheet'!$U$20="N",0,MIN(SUM(BT20,BS68),'Summary Sheet'!$U$21))</f>
        <v>0</v>
      </c>
      <c r="BU36" s="18">
        <f>IF('Summary Sheet'!$U$20="N",0,MIN(SUM(BU20,BT68),'Summary Sheet'!$U$21))</f>
        <v>0</v>
      </c>
      <c r="BV36" s="18">
        <f>IF('Summary Sheet'!$U$20="N",0,MIN(SUM(BV20,BU68),'Summary Sheet'!$U$21))</f>
        <v>0</v>
      </c>
      <c r="BW36" s="18">
        <f>IF('Summary Sheet'!$U$20="N",0,MIN(SUM(BW20,BV68),'Summary Sheet'!$U$21))</f>
        <v>0</v>
      </c>
      <c r="BX36" s="18">
        <f>IF('Summary Sheet'!$U$20="N",0,MIN(SUM(BX20,BW68),'Summary Sheet'!$U$21))</f>
        <v>0</v>
      </c>
      <c r="BY36" s="18">
        <f>IF('Summary Sheet'!$U$20="N",0,MIN(SUM(BY20,BX68),'Summary Sheet'!$U$21))</f>
        <v>0</v>
      </c>
      <c r="BZ36" s="18">
        <f>IF('Summary Sheet'!$U$20="N",0,MIN(SUM(BZ20,BY68),'Summary Sheet'!$U$21))</f>
        <v>0</v>
      </c>
      <c r="CA36" s="18">
        <f>IF('Summary Sheet'!$U$20="N",0,MIN(SUM(CA20,BZ68),'Summary Sheet'!$U$21))</f>
        <v>0</v>
      </c>
      <c r="CB36" s="18">
        <f>IF('Summary Sheet'!$U$20="N",0,MIN(SUM(CB20,CA68),'Summary Sheet'!$U$21))</f>
        <v>0</v>
      </c>
      <c r="CC36" s="18">
        <f>IF('Summary Sheet'!$U$20="N",0,MIN(SUM(CC20,CB68),'Summary Sheet'!$U$21))</f>
        <v>0</v>
      </c>
      <c r="CD36" s="18">
        <f>IF('Summary Sheet'!$U$20="N",0,MIN(SUM(CD20,CC68),'Summary Sheet'!$U$21))</f>
        <v>0</v>
      </c>
      <c r="CE36" s="18">
        <f>IF('Summary Sheet'!$U$20="N",0,MIN(SUM(CE20,CD68),'Summary Sheet'!$U$21))</f>
        <v>0</v>
      </c>
      <c r="CF36" s="18">
        <f>IF('Summary Sheet'!$U$20="N",0,MIN(SUM(CF20,CE68),'Summary Sheet'!$U$21))</f>
        <v>0</v>
      </c>
      <c r="CG36" s="18">
        <f>IF('Summary Sheet'!$U$20="N",0,MIN(SUM(CG20,CF68),'Summary Sheet'!$U$21))</f>
        <v>0</v>
      </c>
      <c r="CH36" s="18">
        <f>IF('Summary Sheet'!$U$20="N",0,MIN(SUM(CH20,CG68),'Summary Sheet'!$U$21))</f>
        <v>0</v>
      </c>
      <c r="CI36" s="18">
        <f>IF('Summary Sheet'!$U$20="N",0,MIN(SUM(CI20,CH68),'Summary Sheet'!$U$21))</f>
        <v>0</v>
      </c>
      <c r="CJ36" s="18">
        <f>IF('Summary Sheet'!$U$20="N",0,MIN(SUM(CJ20,CI68),'Summary Sheet'!$U$21))</f>
        <v>0</v>
      </c>
      <c r="CK36" s="18">
        <v>30</v>
      </c>
      <c r="CL36" s="18">
        <f t="shared" si="115"/>
        <v>0</v>
      </c>
      <c r="CM36" s="18">
        <f t="shared" si="116"/>
        <v>0</v>
      </c>
      <c r="CN36" s="18">
        <f t="shared" si="110"/>
        <v>0</v>
      </c>
    </row>
    <row r="37" spans="1:92" x14ac:dyDescent="0.25">
      <c r="A37" s="18" t="s">
        <v>6</v>
      </c>
      <c r="B37" s="17">
        <v>7</v>
      </c>
      <c r="C37" s="18">
        <f>C53*'Summary Sheet'!$B$15*$AA53</f>
        <v>0</v>
      </c>
      <c r="D37" s="18">
        <f>D53*'Summary Sheet'!$B$15*$AA53</f>
        <v>0</v>
      </c>
      <c r="E37" s="18">
        <f>E53*'Summary Sheet'!$B$15*$AA53</f>
        <v>0</v>
      </c>
      <c r="F37" s="18">
        <f>F53*'Summary Sheet'!$B$15*$AA53</f>
        <v>0</v>
      </c>
      <c r="G37" s="18">
        <f>G53*'Summary Sheet'!$B$15*$AA53</f>
        <v>0</v>
      </c>
      <c r="H37" s="18">
        <f>H53*'Summary Sheet'!$B$15*$AA53</f>
        <v>0</v>
      </c>
      <c r="I37" s="18">
        <f>I53*'Summary Sheet'!$B$15*$AA53</f>
        <v>0</v>
      </c>
      <c r="J37" s="18">
        <f>J53*'Summary Sheet'!$B$15*$AA53</f>
        <v>0</v>
      </c>
      <c r="K37" s="18">
        <f>K53*'Summary Sheet'!$B$15*$AA53</f>
        <v>138.03551999999996</v>
      </c>
      <c r="L37" s="18">
        <f>L53*'Summary Sheet'!$B$15*$AA53</f>
        <v>1077.9916799999999</v>
      </c>
      <c r="M37" s="18">
        <f>M53*'Summary Sheet'!$B$15*$AA53</f>
        <v>2208.5683199999994</v>
      </c>
      <c r="N37" s="18">
        <f>N53*'Summary Sheet'!$B$15*$AA53</f>
        <v>3010.4889600000015</v>
      </c>
      <c r="O37" s="18">
        <f>O53*'Summary Sheet'!$B$15*$AA53</f>
        <v>3339.1449600000014</v>
      </c>
      <c r="P37" s="18">
        <f>P53*'Summary Sheet'!$B$15*$AA53</f>
        <v>3266.840639999999</v>
      </c>
      <c r="Q37" s="18">
        <f>Q53*'Summary Sheet'!$B$15*$AA53</f>
        <v>2944.7577600000027</v>
      </c>
      <c r="R37" s="18">
        <f>R53*'Summary Sheet'!$B$15*$AA53</f>
        <v>2201.9951999999998</v>
      </c>
      <c r="S37" s="18">
        <f>S53*'Summary Sheet'!$B$15*$AA53</f>
        <v>1386.9283199999993</v>
      </c>
      <c r="T37" s="18">
        <f>T53*'Summary Sheet'!$B$15*$AA53</f>
        <v>236.63231999999991</v>
      </c>
      <c r="U37" s="18">
        <f>U53*'Summary Sheet'!$B$15*$AA53</f>
        <v>6.5731199999999967</v>
      </c>
      <c r="V37" s="18">
        <f>V53*'Summary Sheet'!$B$15*$AA53</f>
        <v>0</v>
      </c>
      <c r="W37" s="18">
        <f>W53*'Summary Sheet'!$B$15*$AA53</f>
        <v>0</v>
      </c>
      <c r="X37" s="18">
        <f>X53*'Summary Sheet'!$B$15*$AA53</f>
        <v>0</v>
      </c>
      <c r="Y37" s="18">
        <f>Y53*'Summary Sheet'!$B$15*$AA53</f>
        <v>0</v>
      </c>
      <c r="Z37" s="18">
        <f>Z53*'Summary Sheet'!$B$15*$AA53</f>
        <v>0</v>
      </c>
      <c r="AA37" s="18">
        <v>31</v>
      </c>
      <c r="AB37" s="18">
        <f t="shared" si="111"/>
        <v>438826.18628571433</v>
      </c>
      <c r="AC37" s="18">
        <f t="shared" si="112"/>
        <v>175530.47451428574</v>
      </c>
      <c r="AD37" s="18">
        <f t="shared" si="84"/>
        <v>614356.66080000007</v>
      </c>
      <c r="AF37" s="18" t="s">
        <v>6</v>
      </c>
      <c r="AG37" s="17">
        <v>7</v>
      </c>
      <c r="AH37" s="18">
        <f t="shared" si="85"/>
        <v>0</v>
      </c>
      <c r="AI37" s="18">
        <f t="shared" si="86"/>
        <v>0</v>
      </c>
      <c r="AJ37" s="18">
        <f t="shared" si="87"/>
        <v>0</v>
      </c>
      <c r="AK37" s="18">
        <f t="shared" si="88"/>
        <v>0</v>
      </c>
      <c r="AL37" s="18">
        <f t="shared" si="89"/>
        <v>0</v>
      </c>
      <c r="AM37" s="18">
        <f t="shared" si="90"/>
        <v>0</v>
      </c>
      <c r="AN37" s="18">
        <f t="shared" si="91"/>
        <v>0</v>
      </c>
      <c r="AO37" s="18">
        <f t="shared" si="92"/>
        <v>0</v>
      </c>
      <c r="AP37" s="18">
        <f t="shared" si="93"/>
        <v>138.03551999999996</v>
      </c>
      <c r="AQ37" s="18">
        <f t="shared" si="94"/>
        <v>1004.2820260602253</v>
      </c>
      <c r="AR37" s="18">
        <f t="shared" si="95"/>
        <v>1013.2694348244303</v>
      </c>
      <c r="AS37" s="18">
        <f t="shared" si="96"/>
        <v>989.91358359229798</v>
      </c>
      <c r="AT37" s="18">
        <f t="shared" si="97"/>
        <v>973.17435784018085</v>
      </c>
      <c r="AU37" s="18">
        <f t="shared" si="98"/>
        <v>960.04833655336836</v>
      </c>
      <c r="AV37" s="18">
        <f t="shared" si="99"/>
        <v>945.88059546136287</v>
      </c>
      <c r="AW37" s="18">
        <f t="shared" si="100"/>
        <v>950.1750108880824</v>
      </c>
      <c r="AX37" s="18">
        <f t="shared" si="101"/>
        <v>990.14766175880652</v>
      </c>
      <c r="AY37" s="18">
        <f t="shared" si="102"/>
        <v>236.63231999999991</v>
      </c>
      <c r="AZ37" s="18">
        <f t="shared" si="103"/>
        <v>6.5731199999999967</v>
      </c>
      <c r="BA37" s="18">
        <f t="shared" si="104"/>
        <v>0</v>
      </c>
      <c r="BB37" s="18">
        <f t="shared" si="105"/>
        <v>0</v>
      </c>
      <c r="BC37" s="18">
        <f t="shared" si="106"/>
        <v>0</v>
      </c>
      <c r="BD37" s="18">
        <f t="shared" si="107"/>
        <v>0</v>
      </c>
      <c r="BE37" s="18">
        <f t="shared" si="108"/>
        <v>0</v>
      </c>
      <c r="BF37" s="18">
        <v>31</v>
      </c>
      <c r="BG37" s="18">
        <f t="shared" si="113"/>
        <v>181751.49355452953</v>
      </c>
      <c r="BH37" s="18">
        <f t="shared" si="114"/>
        <v>72700.597421811835</v>
      </c>
      <c r="BI37" s="18">
        <f t="shared" si="109"/>
        <v>254452.09097634137</v>
      </c>
      <c r="BK37" s="18" t="s">
        <v>6</v>
      </c>
      <c r="BL37" s="17">
        <v>7</v>
      </c>
      <c r="BM37" s="18">
        <f>IF('Summary Sheet'!$U$20="N",0,MIN(SUM(BM21,CJ69),'Summary Sheet'!$U$21))</f>
        <v>0</v>
      </c>
      <c r="BN37" s="18">
        <f>IF('Summary Sheet'!$U$20="N",0,MIN(SUM(BN21,BM69),'Summary Sheet'!$U$21))</f>
        <v>0</v>
      </c>
      <c r="BO37" s="18">
        <f>IF('Summary Sheet'!$U$20="N",0,MIN(SUM(BO21,BN69),'Summary Sheet'!$U$21))</f>
        <v>0</v>
      </c>
      <c r="BP37" s="18">
        <f>IF('Summary Sheet'!$U$20="N",0,MIN(SUM(BP21,BO69),'Summary Sheet'!$U$21))</f>
        <v>0</v>
      </c>
      <c r="BQ37" s="18">
        <f>IF('Summary Sheet'!$U$20="N",0,MIN(SUM(BQ21,BP69),'Summary Sheet'!$U$21))</f>
        <v>0</v>
      </c>
      <c r="BR37" s="18">
        <f>IF('Summary Sheet'!$U$20="N",0,MIN(SUM(BR21,BQ69),'Summary Sheet'!$U$21))</f>
        <v>0</v>
      </c>
      <c r="BS37" s="18">
        <v>0</v>
      </c>
      <c r="BT37" s="18">
        <f>IF('Summary Sheet'!$U$20="N",0,MIN(SUM(BT21,BS69),'Summary Sheet'!$U$21))</f>
        <v>0</v>
      </c>
      <c r="BU37" s="18">
        <f>IF('Summary Sheet'!$U$20="N",0,MIN(SUM(BU21,BT69),'Summary Sheet'!$U$21))</f>
        <v>0</v>
      </c>
      <c r="BV37" s="18">
        <f>IF('Summary Sheet'!$U$20="N",0,MIN(SUM(BV21,BU69),'Summary Sheet'!$U$21))</f>
        <v>0</v>
      </c>
      <c r="BW37" s="18">
        <f>IF('Summary Sheet'!$U$20="N",0,MIN(SUM(BW21,BV69),'Summary Sheet'!$U$21))</f>
        <v>0</v>
      </c>
      <c r="BX37" s="18">
        <f>IF('Summary Sheet'!$U$20="N",0,MIN(SUM(BX21,BW69),'Summary Sheet'!$U$21))</f>
        <v>0</v>
      </c>
      <c r="BY37" s="18">
        <f>IF('Summary Sheet'!$U$20="N",0,MIN(SUM(BY21,BX69),'Summary Sheet'!$U$21))</f>
        <v>0</v>
      </c>
      <c r="BZ37" s="18">
        <f>IF('Summary Sheet'!$U$20="N",0,MIN(SUM(BZ21,BY69),'Summary Sheet'!$U$21))</f>
        <v>0</v>
      </c>
      <c r="CA37" s="18">
        <f>IF('Summary Sheet'!$U$20="N",0,MIN(SUM(CA21,BZ69),'Summary Sheet'!$U$21))</f>
        <v>0</v>
      </c>
      <c r="CB37" s="18">
        <f>IF('Summary Sheet'!$U$20="N",0,MIN(SUM(CB21,CA69),'Summary Sheet'!$U$21))</f>
        <v>0</v>
      </c>
      <c r="CC37" s="18">
        <f>IF('Summary Sheet'!$U$20="N",0,MIN(SUM(CC21,CB69),'Summary Sheet'!$U$21))</f>
        <v>0</v>
      </c>
      <c r="CD37" s="18">
        <f>IF('Summary Sheet'!$U$20="N",0,MIN(SUM(CD21,CC69),'Summary Sheet'!$U$21))</f>
        <v>0</v>
      </c>
      <c r="CE37" s="18">
        <f>IF('Summary Sheet'!$U$20="N",0,MIN(SUM(CE21,CD69),'Summary Sheet'!$U$21))</f>
        <v>0</v>
      </c>
      <c r="CF37" s="18">
        <f>IF('Summary Sheet'!$U$20="N",0,MIN(SUM(CF21,CE69),'Summary Sheet'!$U$21))</f>
        <v>0</v>
      </c>
      <c r="CG37" s="18">
        <f>IF('Summary Sheet'!$U$20="N",0,MIN(SUM(CG21,CF69),'Summary Sheet'!$U$21))</f>
        <v>0</v>
      </c>
      <c r="CH37" s="18">
        <f>IF('Summary Sheet'!$U$20="N",0,MIN(SUM(CH21,CG69),'Summary Sheet'!$U$21))</f>
        <v>0</v>
      </c>
      <c r="CI37" s="18">
        <f>IF('Summary Sheet'!$U$20="N",0,MIN(SUM(CI21,CH69),'Summary Sheet'!$U$21))</f>
        <v>0</v>
      </c>
      <c r="CJ37" s="18">
        <f>IF('Summary Sheet'!$U$20="N",0,MIN(SUM(CJ21,CI69),'Summary Sheet'!$U$21))</f>
        <v>0</v>
      </c>
      <c r="CK37" s="18">
        <v>31</v>
      </c>
      <c r="CL37" s="18">
        <f t="shared" si="115"/>
        <v>0</v>
      </c>
      <c r="CM37" s="18">
        <f t="shared" si="116"/>
        <v>0</v>
      </c>
      <c r="CN37" s="18">
        <f t="shared" si="110"/>
        <v>0</v>
      </c>
    </row>
    <row r="38" spans="1:92" x14ac:dyDescent="0.25">
      <c r="A38" s="18" t="s">
        <v>7</v>
      </c>
      <c r="B38" s="17">
        <v>8</v>
      </c>
      <c r="C38" s="18">
        <f>C54*'Summary Sheet'!$B$15*$AA54</f>
        <v>0</v>
      </c>
      <c r="D38" s="18">
        <f>D54*'Summary Sheet'!$B$15*$AA54</f>
        <v>0</v>
      </c>
      <c r="E38" s="18">
        <f>E54*'Summary Sheet'!$B$15*$AA54</f>
        <v>0</v>
      </c>
      <c r="F38" s="18">
        <f>F54*'Summary Sheet'!$B$15*$AA54</f>
        <v>0</v>
      </c>
      <c r="G38" s="18">
        <f>G54*'Summary Sheet'!$B$15*$AA54</f>
        <v>0</v>
      </c>
      <c r="H38" s="18">
        <f>H54*'Summary Sheet'!$B$15*$AA54</f>
        <v>0</v>
      </c>
      <c r="I38" s="18">
        <f>I54*'Summary Sheet'!$B$15*$AA54</f>
        <v>0</v>
      </c>
      <c r="J38" s="18">
        <f>J54*'Summary Sheet'!$B$15*$AA54</f>
        <v>26.292479999999987</v>
      </c>
      <c r="K38" s="18">
        <f>K54*'Summary Sheet'!$B$15*$AA54</f>
        <v>394.38719999999978</v>
      </c>
      <c r="L38" s="18">
        <f>L54*'Summary Sheet'!$B$15*$AA54</f>
        <v>1715.5843200000013</v>
      </c>
      <c r="M38" s="18">
        <f>M54*'Summary Sheet'!$B$15*$AA54</f>
        <v>2754.1372799999995</v>
      </c>
      <c r="N38" s="18">
        <f>N54*'Summary Sheet'!$B$15*$AA54</f>
        <v>3424.5955200000017</v>
      </c>
      <c r="O38" s="18">
        <f>O54*'Summary Sheet'!$B$15*$AA54</f>
        <v>3694.0934400000001</v>
      </c>
      <c r="P38" s="18">
        <f>P54*'Summary Sheet'!$B$15*$AA54</f>
        <v>3674.3740799999978</v>
      </c>
      <c r="Q38" s="18">
        <f>Q54*'Summary Sheet'!$B$15*$AA54</f>
        <v>3306.27936</v>
      </c>
      <c r="R38" s="18">
        <f>R54*'Summary Sheet'!$B$15*$AA54</f>
        <v>2668.6867199999992</v>
      </c>
      <c r="S38" s="18">
        <f>S54*'Summary Sheet'!$B$15*$AA54</f>
        <v>1735.3036799999993</v>
      </c>
      <c r="T38" s="18">
        <f>T54*'Summary Sheet'!$B$15*$AA54</f>
        <v>512.70335999999963</v>
      </c>
      <c r="U38" s="18">
        <f>U54*'Summary Sheet'!$B$15*$AA54</f>
        <v>46.011840000000042</v>
      </c>
      <c r="V38" s="18">
        <f>V54*'Summary Sheet'!$B$15*$AA54</f>
        <v>0</v>
      </c>
      <c r="W38" s="18">
        <f>W54*'Summary Sheet'!$B$15*$AA54</f>
        <v>0</v>
      </c>
      <c r="X38" s="18">
        <f>X54*'Summary Sheet'!$B$15*$AA54</f>
        <v>0</v>
      </c>
      <c r="Y38" s="18">
        <f>Y54*'Summary Sheet'!$B$15*$AA54</f>
        <v>0</v>
      </c>
      <c r="Z38" s="18">
        <f>Z54*'Summary Sheet'!$B$15*$AA54</f>
        <v>0</v>
      </c>
      <c r="AA38" s="18">
        <v>31</v>
      </c>
      <c r="AB38" s="18">
        <f t="shared" si="111"/>
        <v>530375.66262857139</v>
      </c>
      <c r="AC38" s="18">
        <f t="shared" si="112"/>
        <v>212150.26505142858</v>
      </c>
      <c r="AD38" s="18">
        <f t="shared" si="84"/>
        <v>742525.92767999996</v>
      </c>
      <c r="AF38" s="18" t="s">
        <v>7</v>
      </c>
      <c r="AG38" s="17">
        <v>8</v>
      </c>
      <c r="AH38" s="18">
        <f t="shared" si="85"/>
        <v>0</v>
      </c>
      <c r="AI38" s="18">
        <f t="shared" si="86"/>
        <v>0</v>
      </c>
      <c r="AJ38" s="18">
        <f t="shared" si="87"/>
        <v>0</v>
      </c>
      <c r="AK38" s="18">
        <f t="shared" si="88"/>
        <v>0</v>
      </c>
      <c r="AL38" s="18">
        <f t="shared" si="89"/>
        <v>0</v>
      </c>
      <c r="AM38" s="18">
        <f t="shared" si="90"/>
        <v>0</v>
      </c>
      <c r="AN38" s="18">
        <f t="shared" si="91"/>
        <v>0</v>
      </c>
      <c r="AO38" s="18">
        <f t="shared" si="92"/>
        <v>26.292479999999987</v>
      </c>
      <c r="AP38" s="18">
        <f t="shared" si="93"/>
        <v>394.38719999999978</v>
      </c>
      <c r="AQ38" s="18">
        <f t="shared" si="94"/>
        <v>989.51102887450793</v>
      </c>
      <c r="AR38" s="18">
        <f t="shared" si="95"/>
        <v>1001.3850536533893</v>
      </c>
      <c r="AS38" s="18">
        <f t="shared" si="96"/>
        <v>980.42808583480291</v>
      </c>
      <c r="AT38" s="18">
        <f t="shared" si="97"/>
        <v>963.75082914581913</v>
      </c>
      <c r="AU38" s="18">
        <f t="shared" si="98"/>
        <v>951.42392251643639</v>
      </c>
      <c r="AV38" s="18">
        <f t="shared" si="99"/>
        <v>945.5820595646461</v>
      </c>
      <c r="AW38" s="18">
        <f t="shared" si="100"/>
        <v>932.01691831604001</v>
      </c>
      <c r="AX38" s="18">
        <f t="shared" si="101"/>
        <v>964.49159946486941</v>
      </c>
      <c r="AY38" s="18">
        <f t="shared" si="102"/>
        <v>512.70335999999963</v>
      </c>
      <c r="AZ38" s="18">
        <f t="shared" si="103"/>
        <v>46.011840000000042</v>
      </c>
      <c r="BA38" s="18">
        <f t="shared" si="104"/>
        <v>0</v>
      </c>
      <c r="BB38" s="18">
        <f t="shared" si="105"/>
        <v>0</v>
      </c>
      <c r="BC38" s="18">
        <f t="shared" si="106"/>
        <v>0</v>
      </c>
      <c r="BD38" s="18">
        <f t="shared" si="107"/>
        <v>0</v>
      </c>
      <c r="BE38" s="18">
        <f t="shared" si="108"/>
        <v>0</v>
      </c>
      <c r="BF38" s="18">
        <v>31</v>
      </c>
      <c r="BG38" s="18">
        <f t="shared" si="113"/>
        <v>192819.65407034702</v>
      </c>
      <c r="BH38" s="18">
        <f t="shared" si="114"/>
        <v>77127.861628138809</v>
      </c>
      <c r="BI38" s="18">
        <f t="shared" si="109"/>
        <v>269947.51569848583</v>
      </c>
      <c r="BK38" s="18" t="s">
        <v>7</v>
      </c>
      <c r="BL38" s="17">
        <v>8</v>
      </c>
      <c r="BM38" s="18">
        <f>IF('Summary Sheet'!$U$20="N",0,MIN(SUM(BM22,CJ70),'Summary Sheet'!$U$21))</f>
        <v>0</v>
      </c>
      <c r="BN38" s="18">
        <f>IF('Summary Sheet'!$U$20="N",0,MIN(SUM(BN22,BM70),'Summary Sheet'!$U$21))</f>
        <v>0</v>
      </c>
      <c r="BO38" s="18">
        <f>IF('Summary Sheet'!$U$20="N",0,MIN(SUM(BO22,BN70),'Summary Sheet'!$U$21))</f>
        <v>0</v>
      </c>
      <c r="BP38" s="18">
        <f>IF('Summary Sheet'!$U$20="N",0,MIN(SUM(BP22,BO70),'Summary Sheet'!$U$21))</f>
        <v>0</v>
      </c>
      <c r="BQ38" s="18">
        <f>IF('Summary Sheet'!$U$20="N",0,MIN(SUM(BQ22,BP70),'Summary Sheet'!$U$21))</f>
        <v>0</v>
      </c>
      <c r="BR38" s="18">
        <f>IF('Summary Sheet'!$U$20="N",0,MIN(SUM(BR22,BQ70),'Summary Sheet'!$U$21))</f>
        <v>0</v>
      </c>
      <c r="BS38" s="18">
        <v>0</v>
      </c>
      <c r="BT38" s="18">
        <f>IF('Summary Sheet'!$U$20="N",0,MIN(SUM(BT22,BS70),'Summary Sheet'!$U$21))</f>
        <v>0</v>
      </c>
      <c r="BU38" s="18">
        <f>IF('Summary Sheet'!$U$20="N",0,MIN(SUM(BU22,BT70),'Summary Sheet'!$U$21))</f>
        <v>0</v>
      </c>
      <c r="BV38" s="18">
        <f>IF('Summary Sheet'!$U$20="N",0,MIN(SUM(BV22,BU70),'Summary Sheet'!$U$21))</f>
        <v>0</v>
      </c>
      <c r="BW38" s="18">
        <f>IF('Summary Sheet'!$U$20="N",0,MIN(SUM(BW22,BV70),'Summary Sheet'!$U$21))</f>
        <v>0</v>
      </c>
      <c r="BX38" s="18">
        <f>IF('Summary Sheet'!$U$20="N",0,MIN(SUM(BX22,BW70),'Summary Sheet'!$U$21))</f>
        <v>0</v>
      </c>
      <c r="BY38" s="18">
        <f>IF('Summary Sheet'!$U$20="N",0,MIN(SUM(BY22,BX70),'Summary Sheet'!$U$21))</f>
        <v>0</v>
      </c>
      <c r="BZ38" s="18">
        <f>IF('Summary Sheet'!$U$20="N",0,MIN(SUM(BZ22,BY70),'Summary Sheet'!$U$21))</f>
        <v>0</v>
      </c>
      <c r="CA38" s="18">
        <f>IF('Summary Sheet'!$U$20="N",0,MIN(SUM(CA22,BZ70),'Summary Sheet'!$U$21))</f>
        <v>0</v>
      </c>
      <c r="CB38" s="18">
        <f>IF('Summary Sheet'!$U$20="N",0,MIN(SUM(CB22,CA70),'Summary Sheet'!$U$21))</f>
        <v>0</v>
      </c>
      <c r="CC38" s="18">
        <f>IF('Summary Sheet'!$U$20="N",0,MIN(SUM(CC22,CB70),'Summary Sheet'!$U$21))</f>
        <v>0</v>
      </c>
      <c r="CD38" s="18">
        <f>IF('Summary Sheet'!$U$20="N",0,MIN(SUM(CD22,CC70),'Summary Sheet'!$U$21))</f>
        <v>0</v>
      </c>
      <c r="CE38" s="18">
        <f>IF('Summary Sheet'!$U$20="N",0,MIN(SUM(CE22,CD70),'Summary Sheet'!$U$21))</f>
        <v>0</v>
      </c>
      <c r="CF38" s="18">
        <f>IF('Summary Sheet'!$U$20="N",0,MIN(SUM(CF22,CE70),'Summary Sheet'!$U$21))</f>
        <v>0</v>
      </c>
      <c r="CG38" s="18">
        <f>IF('Summary Sheet'!$U$20="N",0,MIN(SUM(CG22,CF70),'Summary Sheet'!$U$21))</f>
        <v>0</v>
      </c>
      <c r="CH38" s="18">
        <f>IF('Summary Sheet'!$U$20="N",0,MIN(SUM(CH22,CG70),'Summary Sheet'!$U$21))</f>
        <v>0</v>
      </c>
      <c r="CI38" s="18">
        <f>IF('Summary Sheet'!$U$20="N",0,MIN(SUM(CI22,CH70),'Summary Sheet'!$U$21))</f>
        <v>0</v>
      </c>
      <c r="CJ38" s="18">
        <f>IF('Summary Sheet'!$U$20="N",0,MIN(SUM(CJ22,CI70),'Summary Sheet'!$U$21))</f>
        <v>0</v>
      </c>
      <c r="CK38" s="18">
        <v>31</v>
      </c>
      <c r="CL38" s="18">
        <f t="shared" si="115"/>
        <v>0</v>
      </c>
      <c r="CM38" s="18">
        <f t="shared" si="116"/>
        <v>0</v>
      </c>
      <c r="CN38" s="18">
        <f t="shared" si="110"/>
        <v>0</v>
      </c>
    </row>
    <row r="39" spans="1:92" x14ac:dyDescent="0.25">
      <c r="A39" s="18" t="s">
        <v>8</v>
      </c>
      <c r="B39" s="17">
        <v>9</v>
      </c>
      <c r="C39" s="18">
        <f>C55*'Summary Sheet'!$B$15*$AA55</f>
        <v>0</v>
      </c>
      <c r="D39" s="18">
        <f>D55*'Summary Sheet'!$B$15*$AA55</f>
        <v>0</v>
      </c>
      <c r="E39" s="18">
        <f>E55*'Summary Sheet'!$B$15*$AA55</f>
        <v>0</v>
      </c>
      <c r="F39" s="18">
        <f>F55*'Summary Sheet'!$B$15*$AA55</f>
        <v>0</v>
      </c>
      <c r="G39" s="18">
        <f>G55*'Summary Sheet'!$B$15*$AA55</f>
        <v>0</v>
      </c>
      <c r="H39" s="18">
        <f>H55*'Summary Sheet'!$B$15*$AA55</f>
        <v>0</v>
      </c>
      <c r="I39" s="18">
        <f>I55*'Summary Sheet'!$B$15*$AA55</f>
        <v>6.5731199999999976</v>
      </c>
      <c r="J39" s="18">
        <f>J55*'Summary Sheet'!$B$15*$AA55</f>
        <v>184.04736000000014</v>
      </c>
      <c r="K39" s="18">
        <f>K55*'Summary Sheet'!$B$15*$AA55</f>
        <v>1216.0272</v>
      </c>
      <c r="L39" s="18">
        <f>L55*'Summary Sheet'!$B$15*$AA55</f>
        <v>2307.1651199999988</v>
      </c>
      <c r="M39" s="18">
        <f>M55*'Summary Sheet'!$B$15*$AA55</f>
        <v>3214.2556800000016</v>
      </c>
      <c r="N39" s="18">
        <f>N55*'Summary Sheet'!$B$15*$AA55</f>
        <v>3838.7020800000018</v>
      </c>
      <c r="O39" s="18">
        <f>O55*'Summary Sheet'!$B$15*$AA55</f>
        <v>4226.5161600000001</v>
      </c>
      <c r="P39" s="18">
        <f>P55*'Summary Sheet'!$B$15*$AA55</f>
        <v>4239.6624000000002</v>
      </c>
      <c r="Q39" s="18">
        <f>Q55*'Summary Sheet'!$B$15*$AA55</f>
        <v>3864.9945600000024</v>
      </c>
      <c r="R39" s="18">
        <f>R55*'Summary Sheet'!$B$15*$AA55</f>
        <v>3168.2438399999996</v>
      </c>
      <c r="S39" s="18">
        <f>S55*'Summary Sheet'!$B$15*$AA55</f>
        <v>2221.7145600000003</v>
      </c>
      <c r="T39" s="18">
        <f>T55*'Summary Sheet'!$B$15*$AA55</f>
        <v>1156.8691199999996</v>
      </c>
      <c r="U39" s="18">
        <f>U55*'Summary Sheet'!$B$15*$AA55</f>
        <v>144.60863999999995</v>
      </c>
      <c r="V39" s="18">
        <f>V55*'Summary Sheet'!$B$15*$AA55</f>
        <v>0</v>
      </c>
      <c r="W39" s="18">
        <f>W55*'Summary Sheet'!$B$15*$AA55</f>
        <v>0</v>
      </c>
      <c r="X39" s="18">
        <f>X55*'Summary Sheet'!$B$15*$AA55</f>
        <v>0</v>
      </c>
      <c r="Y39" s="18">
        <f>Y55*'Summary Sheet'!$B$15*$AA55</f>
        <v>0</v>
      </c>
      <c r="Z39" s="18">
        <f>Z55*'Summary Sheet'!$B$15*$AA55</f>
        <v>0</v>
      </c>
      <c r="AA39" s="18">
        <v>30</v>
      </c>
      <c r="AB39" s="18">
        <f t="shared" si="111"/>
        <v>638203.00114285725</v>
      </c>
      <c r="AC39" s="18">
        <f t="shared" si="112"/>
        <v>255478.39405714278</v>
      </c>
      <c r="AD39" s="18">
        <f t="shared" si="84"/>
        <v>893681.39520000003</v>
      </c>
      <c r="AF39" s="18" t="s">
        <v>8</v>
      </c>
      <c r="AG39" s="17">
        <v>9</v>
      </c>
      <c r="AH39" s="18">
        <f t="shared" si="85"/>
        <v>0</v>
      </c>
      <c r="AI39" s="18">
        <f t="shared" si="86"/>
        <v>0</v>
      </c>
      <c r="AJ39" s="18">
        <f t="shared" si="87"/>
        <v>0</v>
      </c>
      <c r="AK39" s="18">
        <f t="shared" si="88"/>
        <v>0</v>
      </c>
      <c r="AL39" s="18">
        <f t="shared" si="89"/>
        <v>0</v>
      </c>
      <c r="AM39" s="18">
        <f t="shared" si="90"/>
        <v>0</v>
      </c>
      <c r="AN39" s="18">
        <f t="shared" si="91"/>
        <v>6.5731199999999976</v>
      </c>
      <c r="AO39" s="18">
        <f t="shared" si="92"/>
        <v>184.04736000000014</v>
      </c>
      <c r="AP39" s="18">
        <f t="shared" si="93"/>
        <v>851.99560478828039</v>
      </c>
      <c r="AQ39" s="18">
        <f t="shared" si="94"/>
        <v>906.13372091090935</v>
      </c>
      <c r="AR39" s="18">
        <f t="shared" si="95"/>
        <v>920.49816869433153</v>
      </c>
      <c r="AS39" s="18">
        <f t="shared" si="96"/>
        <v>904.84479652246682</v>
      </c>
      <c r="AT39" s="18">
        <f t="shared" si="97"/>
        <v>902.24785652917467</v>
      </c>
      <c r="AU39" s="18">
        <f t="shared" si="98"/>
        <v>894.62562451394103</v>
      </c>
      <c r="AV39" s="18">
        <f t="shared" si="99"/>
        <v>884.29671449508032</v>
      </c>
      <c r="AW39" s="18">
        <f t="shared" si="100"/>
        <v>885.16888852525813</v>
      </c>
      <c r="AX39" s="18">
        <f t="shared" si="101"/>
        <v>887.94505594170846</v>
      </c>
      <c r="AY39" s="18">
        <f t="shared" si="102"/>
        <v>890.0247219360823</v>
      </c>
      <c r="AZ39" s="18">
        <f t="shared" si="103"/>
        <v>144.60863999999995</v>
      </c>
      <c r="BA39" s="18">
        <f t="shared" si="104"/>
        <v>0</v>
      </c>
      <c r="BB39" s="18">
        <f t="shared" si="105"/>
        <v>0</v>
      </c>
      <c r="BC39" s="18">
        <f t="shared" si="106"/>
        <v>0</v>
      </c>
      <c r="BD39" s="18">
        <f t="shared" si="107"/>
        <v>0</v>
      </c>
      <c r="BE39" s="18">
        <f t="shared" si="108"/>
        <v>0</v>
      </c>
      <c r="BF39" s="18">
        <v>30</v>
      </c>
      <c r="BG39" s="18">
        <f t="shared" si="113"/>
        <v>198352.22470408358</v>
      </c>
      <c r="BH39" s="18">
        <f t="shared" si="114"/>
        <v>79538.083481633395</v>
      </c>
      <c r="BI39" s="18">
        <f t="shared" si="109"/>
        <v>277890.30818571697</v>
      </c>
      <c r="BK39" s="18" t="s">
        <v>8</v>
      </c>
      <c r="BL39" s="17">
        <v>9</v>
      </c>
      <c r="BM39" s="18">
        <f>IF('Summary Sheet'!$U$20="N",0,MIN(SUM(BM23,CJ71),'Summary Sheet'!$U$21))</f>
        <v>0</v>
      </c>
      <c r="BN39" s="18">
        <f>IF('Summary Sheet'!$U$20="N",0,MIN(SUM(BN23,BM71),'Summary Sheet'!$U$21))</f>
        <v>0</v>
      </c>
      <c r="BO39" s="18">
        <f>IF('Summary Sheet'!$U$20="N",0,MIN(SUM(BO23,BN71),'Summary Sheet'!$U$21))</f>
        <v>0</v>
      </c>
      <c r="BP39" s="18">
        <f>IF('Summary Sheet'!$U$20="N",0,MIN(SUM(BP23,BO71),'Summary Sheet'!$U$21))</f>
        <v>0</v>
      </c>
      <c r="BQ39" s="18">
        <f>IF('Summary Sheet'!$U$20="N",0,MIN(SUM(BQ23,BP71),'Summary Sheet'!$U$21))</f>
        <v>0</v>
      </c>
      <c r="BR39" s="18">
        <f>IF('Summary Sheet'!$U$20="N",0,MIN(SUM(BR23,BQ71),'Summary Sheet'!$U$21))</f>
        <v>0</v>
      </c>
      <c r="BS39" s="18">
        <v>0</v>
      </c>
      <c r="BT39" s="18">
        <f>IF('Summary Sheet'!$U$20="N",0,MIN(SUM(BT23,BS71),'Summary Sheet'!$U$21))</f>
        <v>0</v>
      </c>
      <c r="BU39" s="18">
        <f>IF('Summary Sheet'!$U$20="N",0,MIN(SUM(BU23,BT71),'Summary Sheet'!$U$21))</f>
        <v>0</v>
      </c>
      <c r="BV39" s="18">
        <f>IF('Summary Sheet'!$U$20="N",0,MIN(SUM(BV23,BU71),'Summary Sheet'!$U$21))</f>
        <v>0</v>
      </c>
      <c r="BW39" s="18">
        <f>IF('Summary Sheet'!$U$20="N",0,MIN(SUM(BW23,BV71),'Summary Sheet'!$U$21))</f>
        <v>0</v>
      </c>
      <c r="BX39" s="18">
        <f>IF('Summary Sheet'!$U$20="N",0,MIN(SUM(BX23,BW71),'Summary Sheet'!$U$21))</f>
        <v>0</v>
      </c>
      <c r="BY39" s="18">
        <f>IF('Summary Sheet'!$U$20="N",0,MIN(SUM(BY23,BX71),'Summary Sheet'!$U$21))</f>
        <v>0</v>
      </c>
      <c r="BZ39" s="18">
        <f>IF('Summary Sheet'!$U$20="N",0,MIN(SUM(BZ23,BY71),'Summary Sheet'!$U$21))</f>
        <v>0</v>
      </c>
      <c r="CA39" s="18">
        <f>IF('Summary Sheet'!$U$20="N",0,MIN(SUM(CA23,BZ71),'Summary Sheet'!$U$21))</f>
        <v>0</v>
      </c>
      <c r="CB39" s="18">
        <f>IF('Summary Sheet'!$U$20="N",0,MIN(SUM(CB23,CA71),'Summary Sheet'!$U$21))</f>
        <v>0</v>
      </c>
      <c r="CC39" s="18">
        <f>IF('Summary Sheet'!$U$20="N",0,MIN(SUM(CC23,CB71),'Summary Sheet'!$U$21))</f>
        <v>0</v>
      </c>
      <c r="CD39" s="18">
        <f>IF('Summary Sheet'!$U$20="N",0,MIN(SUM(CD23,CC71),'Summary Sheet'!$U$21))</f>
        <v>0</v>
      </c>
      <c r="CE39" s="18">
        <f>IF('Summary Sheet'!$U$20="N",0,MIN(SUM(CE23,CD71),'Summary Sheet'!$U$21))</f>
        <v>0</v>
      </c>
      <c r="CF39" s="18">
        <f>IF('Summary Sheet'!$U$20="N",0,MIN(SUM(CF23,CE71),'Summary Sheet'!$U$21))</f>
        <v>0</v>
      </c>
      <c r="CG39" s="18">
        <f>IF('Summary Sheet'!$U$20="N",0,MIN(SUM(CG23,CF71),'Summary Sheet'!$U$21))</f>
        <v>0</v>
      </c>
      <c r="CH39" s="18">
        <f>IF('Summary Sheet'!$U$20="N",0,MIN(SUM(CH23,CG71),'Summary Sheet'!$U$21))</f>
        <v>0</v>
      </c>
      <c r="CI39" s="18">
        <f>IF('Summary Sheet'!$U$20="N",0,MIN(SUM(CI23,CH71),'Summary Sheet'!$U$21))</f>
        <v>0</v>
      </c>
      <c r="CJ39" s="18">
        <f>IF('Summary Sheet'!$U$20="N",0,MIN(SUM(CJ23,CI71),'Summary Sheet'!$U$21))</f>
        <v>0</v>
      </c>
      <c r="CK39" s="18">
        <v>30</v>
      </c>
      <c r="CL39" s="18">
        <f t="shared" si="115"/>
        <v>0</v>
      </c>
      <c r="CM39" s="18">
        <f t="shared" si="116"/>
        <v>0</v>
      </c>
      <c r="CN39" s="18">
        <f t="shared" si="110"/>
        <v>0</v>
      </c>
    </row>
    <row r="40" spans="1:92" x14ac:dyDescent="0.25">
      <c r="A40" s="18" t="s">
        <v>9</v>
      </c>
      <c r="B40" s="17">
        <v>10</v>
      </c>
      <c r="C40" s="18">
        <f>C56*'Summary Sheet'!$B$15*$AA56</f>
        <v>0</v>
      </c>
      <c r="D40" s="18">
        <f>D56*'Summary Sheet'!$B$15*$AA56</f>
        <v>0</v>
      </c>
      <c r="E40" s="18">
        <f>E56*'Summary Sheet'!$B$15*$AA56</f>
        <v>0</v>
      </c>
      <c r="F40" s="18">
        <f>F56*'Summary Sheet'!$B$15*$AA56</f>
        <v>0</v>
      </c>
      <c r="G40" s="18">
        <f>G56*'Summary Sheet'!$B$15*$AA56</f>
        <v>0</v>
      </c>
      <c r="H40" s="18">
        <f>H56*'Summary Sheet'!$B$15*$AA56</f>
        <v>0</v>
      </c>
      <c r="I40" s="18">
        <f>I56*'Summary Sheet'!$B$15*$AA56</f>
        <v>78.877440000000036</v>
      </c>
      <c r="J40" s="18">
        <f>J56*'Summary Sheet'!$B$15*$AA56</f>
        <v>677.03136000000052</v>
      </c>
      <c r="K40" s="18">
        <f>K56*'Summary Sheet'!$B$15*$AA56</f>
        <v>1755.02304</v>
      </c>
      <c r="L40" s="18">
        <f>L56*'Summary Sheet'!$B$15*$AA56</f>
        <v>2819.8684800000005</v>
      </c>
      <c r="M40" s="18">
        <f>M56*'Summary Sheet'!$B$15*$AA56</f>
        <v>3707.2396799999992</v>
      </c>
      <c r="N40" s="18">
        <f>N56*'Summary Sheet'!$B$15*$AA56</f>
        <v>4430.2828800000007</v>
      </c>
      <c r="O40" s="18">
        <f>O56*'Summary Sheet'!$B$15*$AA56</f>
        <v>4752.3657600000024</v>
      </c>
      <c r="P40" s="18">
        <f>P56*'Summary Sheet'!$B$15*$AA56</f>
        <v>4719.5001599999969</v>
      </c>
      <c r="Q40" s="18">
        <f>Q56*'Summary Sheet'!$B$15*$AA56</f>
        <v>4318.5398399999995</v>
      </c>
      <c r="R40" s="18">
        <f>R56*'Summary Sheet'!$B$15*$AA56</f>
        <v>3529.7654400000019</v>
      </c>
      <c r="S40" s="18">
        <f>S56*'Summary Sheet'!$B$15*$AA56</f>
        <v>2530.6511999999993</v>
      </c>
      <c r="T40" s="18">
        <f>T56*'Summary Sheet'!$B$15*$AA56</f>
        <v>1439.5132799999994</v>
      </c>
      <c r="U40" s="18">
        <f>U56*'Summary Sheet'!$B$15*$AA56</f>
        <v>322.08287999999999</v>
      </c>
      <c r="V40" s="18">
        <f>V56*'Summary Sheet'!$B$15*$AA56</f>
        <v>32.865599999999993</v>
      </c>
      <c r="W40" s="18">
        <f>W56*'Summary Sheet'!$B$15*$AA56</f>
        <v>0</v>
      </c>
      <c r="X40" s="18">
        <f>X56*'Summary Sheet'!$B$15*$AA56</f>
        <v>0</v>
      </c>
      <c r="Y40" s="18">
        <f>Y56*'Summary Sheet'!$B$15*$AA56</f>
        <v>0</v>
      </c>
      <c r="Z40" s="18">
        <f>Z56*'Summary Sheet'!$B$15*$AA56</f>
        <v>0</v>
      </c>
      <c r="AA40" s="18">
        <v>31</v>
      </c>
      <c r="AB40" s="18">
        <f t="shared" si="111"/>
        <v>775769.01257142855</v>
      </c>
      <c r="AC40" s="18">
        <f t="shared" si="112"/>
        <v>312752.80566857161</v>
      </c>
      <c r="AD40" s="18">
        <f t="shared" si="84"/>
        <v>1088521.8182400002</v>
      </c>
      <c r="AF40" s="18" t="s">
        <v>9</v>
      </c>
      <c r="AG40" s="17">
        <v>10</v>
      </c>
      <c r="AH40" s="18">
        <f t="shared" si="85"/>
        <v>0</v>
      </c>
      <c r="AI40" s="18">
        <f t="shared" si="86"/>
        <v>0</v>
      </c>
      <c r="AJ40" s="18">
        <f t="shared" si="87"/>
        <v>0</v>
      </c>
      <c r="AK40" s="18">
        <f t="shared" si="88"/>
        <v>0</v>
      </c>
      <c r="AL40" s="18">
        <f t="shared" si="89"/>
        <v>0</v>
      </c>
      <c r="AM40" s="18">
        <f t="shared" si="90"/>
        <v>0</v>
      </c>
      <c r="AN40" s="18">
        <f t="shared" si="91"/>
        <v>78.877440000000036</v>
      </c>
      <c r="AO40" s="18">
        <f t="shared" si="92"/>
        <v>677.03136000000052</v>
      </c>
      <c r="AP40" s="18">
        <f t="shared" si="93"/>
        <v>913.05178904237437</v>
      </c>
      <c r="AQ40" s="18">
        <f t="shared" si="94"/>
        <v>937.3770234639411</v>
      </c>
      <c r="AR40" s="18">
        <f t="shared" si="95"/>
        <v>931.73961276424268</v>
      </c>
      <c r="AS40" s="18">
        <f t="shared" si="96"/>
        <v>929.10239301056083</v>
      </c>
      <c r="AT40" s="18">
        <f t="shared" si="97"/>
        <v>932.34524266851736</v>
      </c>
      <c r="AU40" s="18">
        <f t="shared" si="98"/>
        <v>930.85684993989003</v>
      </c>
      <c r="AV40" s="18">
        <f t="shared" si="99"/>
        <v>914.5584142203943</v>
      </c>
      <c r="AW40" s="18">
        <f t="shared" si="100"/>
        <v>897.87649617866612</v>
      </c>
      <c r="AX40" s="18">
        <f t="shared" si="101"/>
        <v>869.57259526474854</v>
      </c>
      <c r="AY40" s="18">
        <f t="shared" si="102"/>
        <v>918.44434923624692</v>
      </c>
      <c r="AZ40" s="18">
        <f t="shared" si="103"/>
        <v>322.08287999999999</v>
      </c>
      <c r="BA40" s="18">
        <f t="shared" si="104"/>
        <v>32.865599999999993</v>
      </c>
      <c r="BB40" s="18">
        <f t="shared" si="105"/>
        <v>0</v>
      </c>
      <c r="BC40" s="18">
        <f t="shared" si="106"/>
        <v>0</v>
      </c>
      <c r="BD40" s="18">
        <f t="shared" si="107"/>
        <v>0</v>
      </c>
      <c r="BE40" s="18">
        <f t="shared" si="108"/>
        <v>0</v>
      </c>
      <c r="BF40" s="18">
        <v>31</v>
      </c>
      <c r="BG40" s="18">
        <f t="shared" si="113"/>
        <v>226010.03055676931</v>
      </c>
      <c r="BH40" s="18">
        <f t="shared" si="114"/>
        <v>92849.212862707704</v>
      </c>
      <c r="BI40" s="18">
        <f t="shared" si="109"/>
        <v>318859.24341947702</v>
      </c>
      <c r="BK40" s="18" t="s">
        <v>9</v>
      </c>
      <c r="BL40" s="17">
        <v>10</v>
      </c>
      <c r="BM40" s="18">
        <f>IF('Summary Sheet'!$U$20="N",0,MIN(SUM(BM24,CJ72),'Summary Sheet'!$U$21))</f>
        <v>0</v>
      </c>
      <c r="BN40" s="18">
        <f>IF('Summary Sheet'!$U$20="N",0,MIN(SUM(BN24,BM72),'Summary Sheet'!$U$21))</f>
        <v>0</v>
      </c>
      <c r="BO40" s="18">
        <f>IF('Summary Sheet'!$U$20="N",0,MIN(SUM(BO24,BN72),'Summary Sheet'!$U$21))</f>
        <v>0</v>
      </c>
      <c r="BP40" s="18">
        <f>IF('Summary Sheet'!$U$20="N",0,MIN(SUM(BP24,BO72),'Summary Sheet'!$U$21))</f>
        <v>0</v>
      </c>
      <c r="BQ40" s="18">
        <f>IF('Summary Sheet'!$U$20="N",0,MIN(SUM(BQ24,BP72),'Summary Sheet'!$U$21))</f>
        <v>0</v>
      </c>
      <c r="BR40" s="18">
        <f>IF('Summary Sheet'!$U$20="N",0,MIN(SUM(BR24,BQ72),'Summary Sheet'!$U$21))</f>
        <v>0</v>
      </c>
      <c r="BS40" s="18">
        <v>0</v>
      </c>
      <c r="BT40" s="18">
        <f>IF('Summary Sheet'!$U$20="N",0,MIN(SUM(BT24,BS72),'Summary Sheet'!$U$21))</f>
        <v>0</v>
      </c>
      <c r="BU40" s="18">
        <f>IF('Summary Sheet'!$U$20="N",0,MIN(SUM(BU24,BT72),'Summary Sheet'!$U$21))</f>
        <v>0</v>
      </c>
      <c r="BV40" s="18">
        <f>IF('Summary Sheet'!$U$20="N",0,MIN(SUM(BV24,BU72),'Summary Sheet'!$U$21))</f>
        <v>0</v>
      </c>
      <c r="BW40" s="18">
        <f>IF('Summary Sheet'!$U$20="N",0,MIN(SUM(BW24,BV72),'Summary Sheet'!$U$21))</f>
        <v>0</v>
      </c>
      <c r="BX40" s="18">
        <f>IF('Summary Sheet'!$U$20="N",0,MIN(SUM(BX24,BW72),'Summary Sheet'!$U$21))</f>
        <v>0</v>
      </c>
      <c r="BY40" s="18">
        <f>IF('Summary Sheet'!$U$20="N",0,MIN(SUM(BY24,BX72),'Summary Sheet'!$U$21))</f>
        <v>0</v>
      </c>
      <c r="BZ40" s="18">
        <f>IF('Summary Sheet'!$U$20="N",0,MIN(SUM(BZ24,BY72),'Summary Sheet'!$U$21))</f>
        <v>0</v>
      </c>
      <c r="CA40" s="18">
        <f>IF('Summary Sheet'!$U$20="N",0,MIN(SUM(CA24,BZ72),'Summary Sheet'!$U$21))</f>
        <v>0</v>
      </c>
      <c r="CB40" s="18">
        <f>IF('Summary Sheet'!$U$20="N",0,MIN(SUM(CB24,CA72),'Summary Sheet'!$U$21))</f>
        <v>0</v>
      </c>
      <c r="CC40" s="18">
        <f>IF('Summary Sheet'!$U$20="N",0,MIN(SUM(CC24,CB72),'Summary Sheet'!$U$21))</f>
        <v>0</v>
      </c>
      <c r="CD40" s="18">
        <f>IF('Summary Sheet'!$U$20="N",0,MIN(SUM(CD24,CC72),'Summary Sheet'!$U$21))</f>
        <v>0</v>
      </c>
      <c r="CE40" s="18">
        <f>IF('Summary Sheet'!$U$20="N",0,MIN(SUM(CE24,CD72),'Summary Sheet'!$U$21))</f>
        <v>0</v>
      </c>
      <c r="CF40" s="18">
        <f>IF('Summary Sheet'!$U$20="N",0,MIN(SUM(CF24,CE72),'Summary Sheet'!$U$21))</f>
        <v>0</v>
      </c>
      <c r="CG40" s="18">
        <f>IF('Summary Sheet'!$U$20="N",0,MIN(SUM(CG24,CF72),'Summary Sheet'!$U$21))</f>
        <v>0</v>
      </c>
      <c r="CH40" s="18">
        <f>IF('Summary Sheet'!$U$20="N",0,MIN(SUM(CH24,CG72),'Summary Sheet'!$U$21))</f>
        <v>0</v>
      </c>
      <c r="CI40" s="18">
        <f>IF('Summary Sheet'!$U$20="N",0,MIN(SUM(CI24,CH72),'Summary Sheet'!$U$21))</f>
        <v>0</v>
      </c>
      <c r="CJ40" s="18">
        <f>IF('Summary Sheet'!$U$20="N",0,MIN(SUM(CJ24,CI72),'Summary Sheet'!$U$21))</f>
        <v>0</v>
      </c>
      <c r="CK40" s="18">
        <v>31</v>
      </c>
      <c r="CL40" s="18">
        <f t="shared" si="115"/>
        <v>0</v>
      </c>
      <c r="CM40" s="18">
        <f t="shared" si="116"/>
        <v>0</v>
      </c>
      <c r="CN40" s="18">
        <f t="shared" si="110"/>
        <v>0</v>
      </c>
    </row>
    <row r="41" spans="1:92" x14ac:dyDescent="0.25">
      <c r="A41" s="18" t="s">
        <v>10</v>
      </c>
      <c r="B41" s="17">
        <v>11</v>
      </c>
      <c r="C41" s="18">
        <f>C57*'Summary Sheet'!$B$15*$AA57</f>
        <v>0</v>
      </c>
      <c r="D41" s="18">
        <f>D57*'Summary Sheet'!$B$15*$AA57</f>
        <v>0</v>
      </c>
      <c r="E41" s="18">
        <f>E57*'Summary Sheet'!$B$15*$AA57</f>
        <v>0</v>
      </c>
      <c r="F41" s="18">
        <f>F57*'Summary Sheet'!$B$15*$AA57</f>
        <v>0</v>
      </c>
      <c r="G41" s="18">
        <f>G57*'Summary Sheet'!$B$15*$AA57</f>
        <v>0</v>
      </c>
      <c r="H41" s="18">
        <f>H57*'Summary Sheet'!$B$15*$AA57</f>
        <v>13.146239999999995</v>
      </c>
      <c r="I41" s="18">
        <f>I57*'Summary Sheet'!$B$15*$AA57</f>
        <v>236.63231999999991</v>
      </c>
      <c r="J41" s="18">
        <f>J57*'Summary Sheet'!$B$15*$AA57</f>
        <v>933.38304000000039</v>
      </c>
      <c r="K41" s="18">
        <f>K57*'Summary Sheet'!$B$15*$AA57</f>
        <v>1912.7779200000002</v>
      </c>
      <c r="L41" s="18">
        <f>L57*'Summary Sheet'!$B$15*$AA57</f>
        <v>2898.7459200000008</v>
      </c>
      <c r="M41" s="18">
        <f>M57*'Summary Sheet'!$B$15*$AA57</f>
        <v>3799.2633599999981</v>
      </c>
      <c r="N41" s="18">
        <f>N57*'Summary Sheet'!$B$15*$AA57</f>
        <v>4614.3302399999975</v>
      </c>
      <c r="O41" s="18">
        <f>O57*'Summary Sheet'!$B$15*$AA57</f>
        <v>5087.5948800000015</v>
      </c>
      <c r="P41" s="18">
        <f>P57*'Summary Sheet'!$B$15*$AA57</f>
        <v>5094.1680000000024</v>
      </c>
      <c r="Q41" s="18">
        <f>Q57*'Summary Sheet'!$B$15*$AA57</f>
        <v>4614.3302399999975</v>
      </c>
      <c r="R41" s="18">
        <f>R57*'Summary Sheet'!$B$15*$AA57</f>
        <v>3799.2633599999981</v>
      </c>
      <c r="S41" s="18">
        <f>S57*'Summary Sheet'!$B$15*$AA57</f>
        <v>2800.1491200000014</v>
      </c>
      <c r="T41" s="18">
        <f>T57*'Summary Sheet'!$B$15*$AA57</f>
        <v>1662.9993600000012</v>
      </c>
      <c r="U41" s="18">
        <f>U57*'Summary Sheet'!$B$15*$AA57</f>
        <v>631.01952000000017</v>
      </c>
      <c r="V41" s="18">
        <f>V57*'Summary Sheet'!$B$15*$AA57</f>
        <v>111.74303999999998</v>
      </c>
      <c r="W41" s="18">
        <f>W57*'Summary Sheet'!$B$15*$AA57</f>
        <v>0</v>
      </c>
      <c r="X41" s="18">
        <f>X57*'Summary Sheet'!$B$15*$AA57</f>
        <v>0</v>
      </c>
      <c r="Y41" s="18">
        <f>Y57*'Summary Sheet'!$B$15*$AA57</f>
        <v>0</v>
      </c>
      <c r="Z41" s="18">
        <f>Z57*'Summary Sheet'!$B$15*$AA57</f>
        <v>0</v>
      </c>
      <c r="AA41" s="18">
        <v>30</v>
      </c>
      <c r="AB41" s="18">
        <f t="shared" si="111"/>
        <v>813423.6</v>
      </c>
      <c r="AC41" s="18">
        <f t="shared" si="112"/>
        <v>332862.79680000001</v>
      </c>
      <c r="AD41" s="18">
        <f t="shared" si="84"/>
        <v>1146286.3968</v>
      </c>
      <c r="AF41" s="18" t="s">
        <v>10</v>
      </c>
      <c r="AG41" s="17">
        <v>11</v>
      </c>
      <c r="AH41" s="18">
        <f t="shared" si="85"/>
        <v>0</v>
      </c>
      <c r="AI41" s="18">
        <f t="shared" si="86"/>
        <v>0</v>
      </c>
      <c r="AJ41" s="18">
        <f t="shared" si="87"/>
        <v>0</v>
      </c>
      <c r="AK41" s="18">
        <f t="shared" si="88"/>
        <v>0</v>
      </c>
      <c r="AL41" s="18">
        <f t="shared" si="89"/>
        <v>0</v>
      </c>
      <c r="AM41" s="18">
        <f t="shared" si="90"/>
        <v>13.146239999999995</v>
      </c>
      <c r="AN41" s="18">
        <f t="shared" si="91"/>
        <v>236.63231999999991</v>
      </c>
      <c r="AO41" s="18">
        <f t="shared" si="92"/>
        <v>831.91055805746828</v>
      </c>
      <c r="AP41" s="18">
        <f t="shared" si="93"/>
        <v>904.35013115061508</v>
      </c>
      <c r="AQ41" s="18">
        <f t="shared" si="94"/>
        <v>945.77089754975282</v>
      </c>
      <c r="AR41" s="18">
        <f t="shared" si="95"/>
        <v>950.54087623727355</v>
      </c>
      <c r="AS41" s="18">
        <f t="shared" si="96"/>
        <v>955.24331807732096</v>
      </c>
      <c r="AT41" s="18">
        <f t="shared" si="97"/>
        <v>966.22737929108325</v>
      </c>
      <c r="AU41" s="18">
        <f t="shared" si="98"/>
        <v>972.76961750730607</v>
      </c>
      <c r="AV41" s="18">
        <f t="shared" si="99"/>
        <v>961.2757062903429</v>
      </c>
      <c r="AW41" s="18">
        <f t="shared" si="100"/>
        <v>952.10423907162101</v>
      </c>
      <c r="AX41" s="18">
        <f t="shared" si="101"/>
        <v>905.09766415970671</v>
      </c>
      <c r="AY41" s="18">
        <f t="shared" si="102"/>
        <v>863.34752958895024</v>
      </c>
      <c r="AZ41" s="18">
        <f t="shared" si="103"/>
        <v>631.01952000000017</v>
      </c>
      <c r="BA41" s="18">
        <f t="shared" si="104"/>
        <v>111.74303999999998</v>
      </c>
      <c r="BB41" s="18">
        <f t="shared" si="105"/>
        <v>0</v>
      </c>
      <c r="BC41" s="18">
        <f t="shared" si="106"/>
        <v>0</v>
      </c>
      <c r="BD41" s="18">
        <f t="shared" si="107"/>
        <v>0</v>
      </c>
      <c r="BE41" s="18">
        <f t="shared" si="108"/>
        <v>0</v>
      </c>
      <c r="BF41" s="18">
        <v>30</v>
      </c>
      <c r="BG41" s="18">
        <f t="shared" si="113"/>
        <v>234672.86736388804</v>
      </c>
      <c r="BH41" s="18">
        <f t="shared" si="114"/>
        <v>101362.50374555521</v>
      </c>
      <c r="BI41" s="18">
        <f t="shared" si="109"/>
        <v>336035.37110944325</v>
      </c>
      <c r="BK41" s="18" t="s">
        <v>10</v>
      </c>
      <c r="BL41" s="17">
        <v>11</v>
      </c>
      <c r="BM41" s="18">
        <f>IF('Summary Sheet'!$U$20="N",0,MIN(SUM(BM25,CJ73),'Summary Sheet'!$U$21))</f>
        <v>0</v>
      </c>
      <c r="BN41" s="18">
        <f>IF('Summary Sheet'!$U$20="N",0,MIN(SUM(BN25,BM73),'Summary Sheet'!$U$21))</f>
        <v>0</v>
      </c>
      <c r="BO41" s="18">
        <f>IF('Summary Sheet'!$U$20="N",0,MIN(SUM(BO25,BN73),'Summary Sheet'!$U$21))</f>
        <v>0</v>
      </c>
      <c r="BP41" s="18">
        <f>IF('Summary Sheet'!$U$20="N",0,MIN(SUM(BP25,BO73),'Summary Sheet'!$U$21))</f>
        <v>0</v>
      </c>
      <c r="BQ41" s="18">
        <f>IF('Summary Sheet'!$U$20="N",0,MIN(SUM(BQ25,BP73),'Summary Sheet'!$U$21))</f>
        <v>0</v>
      </c>
      <c r="BR41" s="18">
        <f>IF('Summary Sheet'!$U$20="N",0,MIN(SUM(BR25,BQ73),'Summary Sheet'!$U$21))</f>
        <v>0</v>
      </c>
      <c r="BS41" s="18">
        <v>0</v>
      </c>
      <c r="BT41" s="18">
        <f>IF('Summary Sheet'!$U$20="N",0,MIN(SUM(BT25,BS73),'Summary Sheet'!$U$21))</f>
        <v>0</v>
      </c>
      <c r="BU41" s="18">
        <f>IF('Summary Sheet'!$U$20="N",0,MIN(SUM(BU25,BT73),'Summary Sheet'!$U$21))</f>
        <v>0</v>
      </c>
      <c r="BV41" s="18">
        <f>IF('Summary Sheet'!$U$20="N",0,MIN(SUM(BV25,BU73),'Summary Sheet'!$U$21))</f>
        <v>0</v>
      </c>
      <c r="BW41" s="18">
        <f>IF('Summary Sheet'!$U$20="N",0,MIN(SUM(BW25,BV73),'Summary Sheet'!$U$21))</f>
        <v>0</v>
      </c>
      <c r="BX41" s="18">
        <f>IF('Summary Sheet'!$U$20="N",0,MIN(SUM(BX25,BW73),'Summary Sheet'!$U$21))</f>
        <v>0</v>
      </c>
      <c r="BY41" s="18">
        <f>IF('Summary Sheet'!$U$20="N",0,MIN(SUM(BY25,BX73),'Summary Sheet'!$U$21))</f>
        <v>0</v>
      </c>
      <c r="BZ41" s="18">
        <f>IF('Summary Sheet'!$U$20="N",0,MIN(SUM(BZ25,BY73),'Summary Sheet'!$U$21))</f>
        <v>0</v>
      </c>
      <c r="CA41" s="18">
        <f>IF('Summary Sheet'!$U$20="N",0,MIN(SUM(CA25,BZ73),'Summary Sheet'!$U$21))</f>
        <v>0</v>
      </c>
      <c r="CB41" s="18">
        <f>IF('Summary Sheet'!$U$20="N",0,MIN(SUM(CB25,CA73),'Summary Sheet'!$U$21))</f>
        <v>0</v>
      </c>
      <c r="CC41" s="18">
        <f>IF('Summary Sheet'!$U$20="N",0,MIN(SUM(CC25,CB73),'Summary Sheet'!$U$21))</f>
        <v>0</v>
      </c>
      <c r="CD41" s="18">
        <f>IF('Summary Sheet'!$U$20="N",0,MIN(SUM(CD25,CC73),'Summary Sheet'!$U$21))</f>
        <v>0</v>
      </c>
      <c r="CE41" s="18">
        <f>IF('Summary Sheet'!$U$20="N",0,MIN(SUM(CE25,CD73),'Summary Sheet'!$U$21))</f>
        <v>0</v>
      </c>
      <c r="CF41" s="18">
        <f>IF('Summary Sheet'!$U$20="N",0,MIN(SUM(CF25,CE73),'Summary Sheet'!$U$21))</f>
        <v>0</v>
      </c>
      <c r="CG41" s="18">
        <f>IF('Summary Sheet'!$U$20="N",0,MIN(SUM(CG25,CF73),'Summary Sheet'!$U$21))</f>
        <v>0</v>
      </c>
      <c r="CH41" s="18">
        <f>IF('Summary Sheet'!$U$20="N",0,MIN(SUM(CH25,CG73),'Summary Sheet'!$U$21))</f>
        <v>0</v>
      </c>
      <c r="CI41" s="18">
        <f>IF('Summary Sheet'!$U$20="N",0,MIN(SUM(CI25,CH73),'Summary Sheet'!$U$21))</f>
        <v>0</v>
      </c>
      <c r="CJ41" s="18">
        <f>IF('Summary Sheet'!$U$20="N",0,MIN(SUM(CJ25,CI73),'Summary Sheet'!$U$21))</f>
        <v>0</v>
      </c>
      <c r="CK41" s="18">
        <v>30</v>
      </c>
      <c r="CL41" s="18">
        <f t="shared" si="115"/>
        <v>0</v>
      </c>
      <c r="CM41" s="18">
        <f t="shared" si="116"/>
        <v>0</v>
      </c>
      <c r="CN41" s="18">
        <f t="shared" si="110"/>
        <v>0</v>
      </c>
    </row>
    <row r="42" spans="1:92" x14ac:dyDescent="0.25">
      <c r="A42" s="18" t="s">
        <v>11</v>
      </c>
      <c r="B42" s="17">
        <v>12</v>
      </c>
      <c r="C42" s="18">
        <f>C58*'Summary Sheet'!$B$15*$AA58</f>
        <v>0</v>
      </c>
      <c r="D42" s="18">
        <f>D58*'Summary Sheet'!$B$15*$AA58</f>
        <v>0</v>
      </c>
      <c r="E42" s="18">
        <f>E58*'Summary Sheet'!$B$15*$AA58</f>
        <v>0</v>
      </c>
      <c r="F42" s="18">
        <f>F58*'Summary Sheet'!$B$15*$AA58</f>
        <v>0</v>
      </c>
      <c r="G42" s="18">
        <f>G58*'Summary Sheet'!$B$15*$AA58</f>
        <v>0</v>
      </c>
      <c r="H42" s="18">
        <f>H58*'Summary Sheet'!$B$15*$AA58</f>
        <v>19.719360000000009</v>
      </c>
      <c r="I42" s="18">
        <f>I58*'Summary Sheet'!$B$15*$AA58</f>
        <v>282.64415999999989</v>
      </c>
      <c r="J42" s="18">
        <f>J58*'Summary Sheet'!$B$15*$AA58</f>
        <v>926.80991999999981</v>
      </c>
      <c r="K42" s="18">
        <f>K58*'Summary Sheet'!$B$15*$AA58</f>
        <v>1899.6316799999991</v>
      </c>
      <c r="L42" s="18">
        <f>L58*'Summary Sheet'!$B$15*$AA58</f>
        <v>2957.9039999999995</v>
      </c>
      <c r="M42" s="18">
        <f>M58*'Summary Sheet'!$B$15*$AA58</f>
        <v>3878.1407999999974</v>
      </c>
      <c r="N42" s="18">
        <f>N58*'Summary Sheet'!$B$15*$AA58</f>
        <v>4693.2076800000023</v>
      </c>
      <c r="O42" s="18">
        <f>O58*'Summary Sheet'!$B$15*$AA58</f>
        <v>5133.6067200000016</v>
      </c>
      <c r="P42" s="18">
        <f>P58*'Summary Sheet'!$B$15*$AA58</f>
        <v>5199.3379199999999</v>
      </c>
      <c r="Q42" s="18">
        <f>Q58*'Summary Sheet'!$B$15*$AA58</f>
        <v>4791.8044800000016</v>
      </c>
      <c r="R42" s="18">
        <f>R58*'Summary Sheet'!$B$15*$AA58</f>
        <v>4009.6031999999982</v>
      </c>
      <c r="S42" s="18">
        <f>S58*'Summary Sheet'!$B$15*$AA58</f>
        <v>3023.6352000000006</v>
      </c>
      <c r="T42" s="18">
        <f>T58*'Summary Sheet'!$B$15*$AA58</f>
        <v>1939.0703999999987</v>
      </c>
      <c r="U42" s="18">
        <f>U58*'Summary Sheet'!$B$15*$AA58</f>
        <v>874.22495999999967</v>
      </c>
      <c r="V42" s="18">
        <f>V58*'Summary Sheet'!$B$15*$AA58</f>
        <v>256.35167999999982</v>
      </c>
      <c r="W42" s="18">
        <f>W58*'Summary Sheet'!$B$15*$AA58</f>
        <v>26.292479999999987</v>
      </c>
      <c r="X42" s="18">
        <f>X58*'Summary Sheet'!$B$15*$AA58</f>
        <v>0</v>
      </c>
      <c r="Y42" s="18">
        <f>Y58*'Summary Sheet'!$B$15*$AA58</f>
        <v>0</v>
      </c>
      <c r="Z42" s="18">
        <f>Z58*'Summary Sheet'!$B$15*$AA58</f>
        <v>0</v>
      </c>
      <c r="AA42" s="18">
        <v>31</v>
      </c>
      <c r="AB42" s="18">
        <f t="shared" si="111"/>
        <v>877070.18194285687</v>
      </c>
      <c r="AC42" s="18">
        <f t="shared" si="112"/>
        <v>360201.34189714282</v>
      </c>
      <c r="AD42" s="18">
        <f t="shared" si="84"/>
        <v>1237271.5238399997</v>
      </c>
      <c r="AF42" s="18" t="s">
        <v>11</v>
      </c>
      <c r="AG42" s="17">
        <v>12</v>
      </c>
      <c r="AH42" s="18">
        <f t="shared" si="85"/>
        <v>0</v>
      </c>
      <c r="AI42" s="18">
        <f t="shared" si="86"/>
        <v>0</v>
      </c>
      <c r="AJ42" s="18">
        <f t="shared" si="87"/>
        <v>0</v>
      </c>
      <c r="AK42" s="18">
        <f t="shared" si="88"/>
        <v>0</v>
      </c>
      <c r="AL42" s="18">
        <f t="shared" si="89"/>
        <v>0</v>
      </c>
      <c r="AM42" s="18">
        <f t="shared" si="90"/>
        <v>19.719360000000009</v>
      </c>
      <c r="AN42" s="18">
        <f t="shared" si="91"/>
        <v>282.64415999999989</v>
      </c>
      <c r="AO42" s="18">
        <f t="shared" si="92"/>
        <v>853.39837318377124</v>
      </c>
      <c r="AP42" s="18">
        <f t="shared" si="93"/>
        <v>939.58614776846525</v>
      </c>
      <c r="AQ42" s="18">
        <f t="shared" si="94"/>
        <v>1003.7203479796422</v>
      </c>
      <c r="AR42" s="18">
        <f t="shared" si="95"/>
        <v>1034.9231299472951</v>
      </c>
      <c r="AS42" s="18">
        <f t="shared" si="96"/>
        <v>1057.5450730720929</v>
      </c>
      <c r="AT42" s="18">
        <f t="shared" si="97"/>
        <v>1074.2567762304825</v>
      </c>
      <c r="AU42" s="18">
        <f t="shared" si="98"/>
        <v>1078.2910054321217</v>
      </c>
      <c r="AV42" s="18">
        <f t="shared" si="99"/>
        <v>1069.6656120690216</v>
      </c>
      <c r="AW42" s="18">
        <f t="shared" si="100"/>
        <v>1044.7292901729074</v>
      </c>
      <c r="AX42" s="18">
        <f t="shared" si="101"/>
        <v>999.88277813291415</v>
      </c>
      <c r="AY42" s="18">
        <f t="shared" si="102"/>
        <v>918.58752239662647</v>
      </c>
      <c r="AZ42" s="18">
        <f t="shared" si="103"/>
        <v>872.13031722107553</v>
      </c>
      <c r="BA42" s="18">
        <f t="shared" si="104"/>
        <v>256.35167999999982</v>
      </c>
      <c r="BB42" s="18">
        <f t="shared" si="105"/>
        <v>26.292479999999987</v>
      </c>
      <c r="BC42" s="18">
        <f t="shared" si="106"/>
        <v>0</v>
      </c>
      <c r="BD42" s="18">
        <f t="shared" si="107"/>
        <v>0</v>
      </c>
      <c r="BE42" s="18">
        <f t="shared" si="108"/>
        <v>0</v>
      </c>
      <c r="BF42" s="18">
        <v>31</v>
      </c>
      <c r="BG42" s="18">
        <f t="shared" si="113"/>
        <v>270792.98324414209</v>
      </c>
      <c r="BH42" s="18">
        <f t="shared" si="114"/>
        <v>117690.46241765685</v>
      </c>
      <c r="BI42" s="18">
        <f t="shared" si="109"/>
        <v>388483.44566179893</v>
      </c>
      <c r="BK42" s="18" t="s">
        <v>11</v>
      </c>
      <c r="BL42" s="17">
        <v>12</v>
      </c>
      <c r="BM42" s="18">
        <f>IF('Summary Sheet'!$U$20="N",0,MIN(SUM(BM26,CJ74),'Summary Sheet'!$U$21))</f>
        <v>0</v>
      </c>
      <c r="BN42" s="18">
        <f>IF('Summary Sheet'!$U$20="N",0,MIN(SUM(BN26,BM74),'Summary Sheet'!$U$21))</f>
        <v>0</v>
      </c>
      <c r="BO42" s="18">
        <f>IF('Summary Sheet'!$U$20="N",0,MIN(SUM(BO26,BN74),'Summary Sheet'!$U$21))</f>
        <v>0</v>
      </c>
      <c r="BP42" s="18">
        <f>IF('Summary Sheet'!$U$20="N",0,MIN(SUM(BP26,BO74),'Summary Sheet'!$U$21))</f>
        <v>0</v>
      </c>
      <c r="BQ42" s="18">
        <f>IF('Summary Sheet'!$U$20="N",0,MIN(SUM(BQ26,BP74),'Summary Sheet'!$U$21))</f>
        <v>0</v>
      </c>
      <c r="BR42" s="18">
        <f>IF('Summary Sheet'!$U$20="N",0,MIN(SUM(BR26,BQ74),'Summary Sheet'!$U$21))</f>
        <v>0</v>
      </c>
      <c r="BS42" s="18">
        <v>0</v>
      </c>
      <c r="BT42" s="18">
        <f>IF('Summary Sheet'!$U$20="N",0,MIN(SUM(BT26,BS74),'Summary Sheet'!$U$21))</f>
        <v>0</v>
      </c>
      <c r="BU42" s="18">
        <f>IF('Summary Sheet'!$U$20="N",0,MIN(SUM(BU26,BT74),'Summary Sheet'!$U$21))</f>
        <v>0</v>
      </c>
      <c r="BV42" s="18">
        <f>IF('Summary Sheet'!$U$20="N",0,MIN(SUM(BV26,BU74),'Summary Sheet'!$U$21))</f>
        <v>0</v>
      </c>
      <c r="BW42" s="18">
        <f>IF('Summary Sheet'!$U$20="N",0,MIN(SUM(BW26,BV74),'Summary Sheet'!$U$21))</f>
        <v>0</v>
      </c>
      <c r="BX42" s="18">
        <f>IF('Summary Sheet'!$U$20="N",0,MIN(SUM(BX26,BW74),'Summary Sheet'!$U$21))</f>
        <v>0</v>
      </c>
      <c r="BY42" s="18">
        <f>IF('Summary Sheet'!$U$20="N",0,MIN(SUM(BY26,BX74),'Summary Sheet'!$U$21))</f>
        <v>0</v>
      </c>
      <c r="BZ42" s="18">
        <f>IF('Summary Sheet'!$U$20="N",0,MIN(SUM(BZ26,BY74),'Summary Sheet'!$U$21))</f>
        <v>0</v>
      </c>
      <c r="CA42" s="18">
        <f>IF('Summary Sheet'!$U$20="N",0,MIN(SUM(CA26,BZ74),'Summary Sheet'!$U$21))</f>
        <v>0</v>
      </c>
      <c r="CB42" s="18">
        <f>IF('Summary Sheet'!$U$20="N",0,MIN(SUM(CB26,CA74),'Summary Sheet'!$U$21))</f>
        <v>0</v>
      </c>
      <c r="CC42" s="18">
        <f>IF('Summary Sheet'!$U$20="N",0,MIN(SUM(CC26,CB74),'Summary Sheet'!$U$21))</f>
        <v>0</v>
      </c>
      <c r="CD42" s="18">
        <f>IF('Summary Sheet'!$U$20="N",0,MIN(SUM(CD26,CC74),'Summary Sheet'!$U$21))</f>
        <v>0</v>
      </c>
      <c r="CE42" s="18">
        <f>IF('Summary Sheet'!$U$20="N",0,MIN(SUM(CE26,CD74),'Summary Sheet'!$U$21))</f>
        <v>0</v>
      </c>
      <c r="CF42" s="18">
        <f>IF('Summary Sheet'!$U$20="N",0,MIN(SUM(CF26,CE74),'Summary Sheet'!$U$21))</f>
        <v>0</v>
      </c>
      <c r="CG42" s="18">
        <f>IF('Summary Sheet'!$U$20="N",0,MIN(SUM(CG26,CF74),'Summary Sheet'!$U$21))</f>
        <v>0</v>
      </c>
      <c r="CH42" s="18">
        <f>IF('Summary Sheet'!$U$20="N",0,MIN(SUM(CH26,CG74),'Summary Sheet'!$U$21))</f>
        <v>0</v>
      </c>
      <c r="CI42" s="18">
        <f>IF('Summary Sheet'!$U$20="N",0,MIN(SUM(CI26,CH74),'Summary Sheet'!$U$21))</f>
        <v>0</v>
      </c>
      <c r="CJ42" s="18">
        <f>IF('Summary Sheet'!$U$20="N",0,MIN(SUM(CJ26,CI74),'Summary Sheet'!$U$21))</f>
        <v>0</v>
      </c>
      <c r="CK42" s="18">
        <v>31</v>
      </c>
      <c r="CL42" s="18">
        <f t="shared" si="115"/>
        <v>0</v>
      </c>
      <c r="CM42" s="18">
        <f t="shared" si="116"/>
        <v>0</v>
      </c>
      <c r="CN42" s="18">
        <f t="shared" si="110"/>
        <v>0</v>
      </c>
    </row>
    <row r="43" spans="1:92"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B43" s="20">
        <f>SUM(AB31:AB42)</f>
        <v>8095614.2249142863</v>
      </c>
      <c r="AC43" s="20">
        <f>SUM(AC31:AC42)</f>
        <v>3265727.9046857152</v>
      </c>
      <c r="AD43" s="20">
        <f>SUM(AD31:AD42)</f>
        <v>11361342.129599998</v>
      </c>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G43" s="20">
        <f>SUM(BG31:BG42)</f>
        <v>2660238.7773175733</v>
      </c>
      <c r="BH43" s="20">
        <f>SUM(BH31:BH42)</f>
        <v>1091577.7256470297</v>
      </c>
      <c r="BI43" s="20">
        <f>SUM(BI31:BI42)</f>
        <v>3751816.5029646042</v>
      </c>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L43" s="20">
        <f>SUM(CL31:CL42)</f>
        <v>0</v>
      </c>
      <c r="CM43" s="20">
        <f>SUM(CM31:CM42)</f>
        <v>0</v>
      </c>
      <c r="CN43" s="20">
        <f>SUM(CN31:CN42)</f>
        <v>0</v>
      </c>
    </row>
    <row r="44" spans="1:92"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D44" s="21"/>
    </row>
    <row r="45" spans="1:92" x14ac:dyDescent="0.25">
      <c r="A45" s="12" t="s">
        <v>23</v>
      </c>
      <c r="B45" s="13" t="s">
        <v>26</v>
      </c>
      <c r="C45" s="14"/>
      <c r="D45" s="14"/>
      <c r="E45" s="14"/>
      <c r="F45" s="14"/>
      <c r="G45" s="14"/>
      <c r="H45" s="14"/>
      <c r="I45" s="14"/>
      <c r="J45" s="14"/>
      <c r="K45" s="14"/>
      <c r="L45" s="14"/>
      <c r="M45" s="14"/>
      <c r="N45" s="14"/>
      <c r="O45" s="14"/>
      <c r="P45" s="14"/>
      <c r="Q45" s="14"/>
      <c r="R45" s="14"/>
      <c r="S45" s="14"/>
      <c r="T45" s="14"/>
      <c r="U45" s="14"/>
      <c r="V45" s="14"/>
      <c r="W45" s="14"/>
      <c r="X45" s="14"/>
      <c r="Y45" s="14"/>
      <c r="Z45" s="15"/>
      <c r="AA45" s="15"/>
      <c r="AD45" s="21"/>
      <c r="AF45" s="12" t="s">
        <v>31</v>
      </c>
      <c r="AG45" s="13"/>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5"/>
      <c r="BF45" s="15" t="s">
        <v>15</v>
      </c>
      <c r="BG45" s="15" t="s">
        <v>33</v>
      </c>
      <c r="BH45" s="15" t="s">
        <v>34</v>
      </c>
      <c r="BI45" s="15" t="s">
        <v>22</v>
      </c>
      <c r="BK45" s="12" t="s">
        <v>52</v>
      </c>
      <c r="BL45" s="13"/>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5"/>
      <c r="CK45" s="15" t="s">
        <v>15</v>
      </c>
      <c r="CL45" s="15" t="s">
        <v>33</v>
      </c>
      <c r="CM45" s="15" t="s">
        <v>34</v>
      </c>
      <c r="CN45" s="15" t="s">
        <v>22</v>
      </c>
    </row>
    <row r="46" spans="1:92" x14ac:dyDescent="0.25">
      <c r="A46" s="16"/>
      <c r="B46" s="3" t="s">
        <v>12</v>
      </c>
      <c r="C46" s="16">
        <v>0</v>
      </c>
      <c r="D46" s="16">
        <v>1</v>
      </c>
      <c r="E46" s="16">
        <v>2</v>
      </c>
      <c r="F46" s="16">
        <v>3</v>
      </c>
      <c r="G46" s="16">
        <v>4</v>
      </c>
      <c r="H46" s="16">
        <v>5</v>
      </c>
      <c r="I46" s="16">
        <v>6</v>
      </c>
      <c r="J46" s="16">
        <v>7</v>
      </c>
      <c r="K46" s="16">
        <v>8</v>
      </c>
      <c r="L46" s="16">
        <v>9</v>
      </c>
      <c r="M46" s="16">
        <v>10</v>
      </c>
      <c r="N46" s="16">
        <v>11</v>
      </c>
      <c r="O46" s="16">
        <v>12</v>
      </c>
      <c r="P46" s="16">
        <v>13</v>
      </c>
      <c r="Q46" s="16">
        <v>14</v>
      </c>
      <c r="R46" s="16">
        <v>15</v>
      </c>
      <c r="S46" s="16">
        <v>16</v>
      </c>
      <c r="T46" s="16">
        <v>17</v>
      </c>
      <c r="U46" s="16">
        <v>18</v>
      </c>
      <c r="V46" s="16">
        <v>19</v>
      </c>
      <c r="W46" s="16">
        <v>20</v>
      </c>
      <c r="X46" s="16">
        <v>21</v>
      </c>
      <c r="Y46" s="16">
        <v>22</v>
      </c>
      <c r="Z46" s="16">
        <v>23</v>
      </c>
      <c r="AA46" s="16" t="s">
        <v>88</v>
      </c>
      <c r="AD46" s="21"/>
      <c r="AF46" s="16"/>
      <c r="AG46" s="3" t="s">
        <v>12</v>
      </c>
      <c r="AH46" s="16">
        <v>0</v>
      </c>
      <c r="AI46" s="16">
        <v>1</v>
      </c>
      <c r="AJ46" s="16">
        <v>2</v>
      </c>
      <c r="AK46" s="16">
        <v>3</v>
      </c>
      <c r="AL46" s="16">
        <v>4</v>
      </c>
      <c r="AM46" s="16">
        <v>5</v>
      </c>
      <c r="AN46" s="16">
        <v>6</v>
      </c>
      <c r="AO46" s="16">
        <v>7</v>
      </c>
      <c r="AP46" s="16">
        <v>8</v>
      </c>
      <c r="AQ46" s="16">
        <v>9</v>
      </c>
      <c r="AR46" s="16">
        <v>10</v>
      </c>
      <c r="AS46" s="16">
        <v>11</v>
      </c>
      <c r="AT46" s="16">
        <v>12</v>
      </c>
      <c r="AU46" s="16">
        <v>13</v>
      </c>
      <c r="AV46" s="16">
        <v>14</v>
      </c>
      <c r="AW46" s="16">
        <v>15</v>
      </c>
      <c r="AX46" s="16">
        <v>16</v>
      </c>
      <c r="AY46" s="16">
        <v>17</v>
      </c>
      <c r="AZ46" s="16">
        <v>18</v>
      </c>
      <c r="BA46" s="16">
        <v>19</v>
      </c>
      <c r="BB46" s="16">
        <v>20</v>
      </c>
      <c r="BC46" s="16">
        <v>21</v>
      </c>
      <c r="BD46" s="16">
        <v>22</v>
      </c>
      <c r="BE46" s="16">
        <v>23</v>
      </c>
      <c r="BF46" s="16"/>
      <c r="BG46" s="16"/>
      <c r="BH46" s="16"/>
      <c r="BI46" s="16"/>
      <c r="BK46" s="16"/>
      <c r="BL46" s="3" t="s">
        <v>12</v>
      </c>
      <c r="BM46" s="16">
        <v>0</v>
      </c>
      <c r="BN46" s="16">
        <v>1</v>
      </c>
      <c r="BO46" s="16">
        <v>2</v>
      </c>
      <c r="BP46" s="16">
        <v>3</v>
      </c>
      <c r="BQ46" s="16">
        <v>4</v>
      </c>
      <c r="BR46" s="16">
        <v>5</v>
      </c>
      <c r="BS46" s="16">
        <v>6</v>
      </c>
      <c r="BT46" s="16">
        <v>7</v>
      </c>
      <c r="BU46" s="16">
        <v>8</v>
      </c>
      <c r="BV46" s="16">
        <v>9</v>
      </c>
      <c r="BW46" s="16">
        <v>10</v>
      </c>
      <c r="BX46" s="16">
        <v>11</v>
      </c>
      <c r="BY46" s="16">
        <v>12</v>
      </c>
      <c r="BZ46" s="16">
        <v>13</v>
      </c>
      <c r="CA46" s="16">
        <v>14</v>
      </c>
      <c r="CB46" s="16">
        <v>15</v>
      </c>
      <c r="CC46" s="16">
        <v>16</v>
      </c>
      <c r="CD46" s="16">
        <v>17</v>
      </c>
      <c r="CE46" s="16">
        <v>18</v>
      </c>
      <c r="CF46" s="16">
        <v>19</v>
      </c>
      <c r="CG46" s="16">
        <v>20</v>
      </c>
      <c r="CH46" s="16">
        <v>21</v>
      </c>
      <c r="CI46" s="16">
        <v>22</v>
      </c>
      <c r="CJ46" s="16">
        <v>23</v>
      </c>
      <c r="CK46" s="16"/>
      <c r="CL46" s="16"/>
      <c r="CM46" s="16"/>
      <c r="CN46" s="16"/>
    </row>
    <row r="47" spans="1:92" x14ac:dyDescent="0.25">
      <c r="A47" s="18" t="s">
        <v>0</v>
      </c>
      <c r="B47" s="17">
        <v>1</v>
      </c>
      <c r="C47" s="22">
        <v>0</v>
      </c>
      <c r="D47" s="22">
        <v>0</v>
      </c>
      <c r="E47" s="22">
        <v>0</v>
      </c>
      <c r="F47" s="22">
        <v>0</v>
      </c>
      <c r="G47" s="22">
        <v>0</v>
      </c>
      <c r="H47" s="22">
        <v>8.4270769230769191E-4</v>
      </c>
      <c r="I47" s="22">
        <v>2.4438523076923062E-2</v>
      </c>
      <c r="J47" s="22">
        <v>9.3540553846153937E-2</v>
      </c>
      <c r="K47" s="22">
        <v>0.21826129230769231</v>
      </c>
      <c r="L47" s="22">
        <v>0.35309452307692302</v>
      </c>
      <c r="M47" s="22">
        <v>0.48961316923076931</v>
      </c>
      <c r="N47" s="22">
        <v>0.61517661538461599</v>
      </c>
      <c r="O47" s="22">
        <v>0.69270572307692335</v>
      </c>
      <c r="P47" s="22">
        <v>0.71545883076923034</v>
      </c>
      <c r="Q47" s="22">
        <v>0.67163803076923068</v>
      </c>
      <c r="R47" s="22">
        <v>0.57472664615384639</v>
      </c>
      <c r="S47" s="22">
        <v>0.44579236923076904</v>
      </c>
      <c r="T47" s="22">
        <v>0.29157686153846152</v>
      </c>
      <c r="U47" s="22">
        <v>0.14073218461538475</v>
      </c>
      <c r="V47" s="22">
        <v>3.7921846153846146E-2</v>
      </c>
      <c r="W47" s="22">
        <v>3.3708307692307676E-3</v>
      </c>
      <c r="X47" s="22">
        <v>0</v>
      </c>
      <c r="Y47" s="22">
        <v>0</v>
      </c>
      <c r="Z47" s="22">
        <v>0</v>
      </c>
      <c r="AA47" s="22">
        <f>HLOOKUP('Summary Sheet'!$B$12,Working!$N$64:$X$76,Working!B47+1,0)</f>
        <v>1</v>
      </c>
      <c r="AD47" s="21"/>
      <c r="AF47" s="18" t="s">
        <v>0</v>
      </c>
      <c r="AG47" s="17">
        <v>1</v>
      </c>
      <c r="AH47" s="18">
        <f t="shared" ref="AH47:AH58" si="117">C31-AH31</f>
        <v>0</v>
      </c>
      <c r="AI47" s="18">
        <f t="shared" ref="AI47:AI58" si="118">D31-AI31</f>
        <v>0</v>
      </c>
      <c r="AJ47" s="18">
        <f t="shared" ref="AJ47:AJ58" si="119">E31-AJ31</f>
        <v>0</v>
      </c>
      <c r="AK47" s="18">
        <f t="shared" ref="AK47:AK58" si="120">F31-AK31</f>
        <v>0</v>
      </c>
      <c r="AL47" s="18">
        <f t="shared" ref="AL47:AL58" si="121">G31-AL31</f>
        <v>0</v>
      </c>
      <c r="AM47" s="18">
        <f t="shared" ref="AM47:AM58" si="122">H31-AM31</f>
        <v>0</v>
      </c>
      <c r="AN47" s="18">
        <f t="shared" ref="AN47:AN58" si="123">I31-AN31</f>
        <v>0</v>
      </c>
      <c r="AO47" s="18">
        <f t="shared" ref="AO47:AO58" si="124">J31-AO31</f>
        <v>0</v>
      </c>
      <c r="AP47" s="18">
        <f t="shared" ref="AP47:AP58" si="125">K31-AP31</f>
        <v>733.44868399987058</v>
      </c>
      <c r="AQ47" s="18">
        <f t="shared" ref="AQ47:AQ58" si="126">L31-AQ31</f>
        <v>1707.7404988708831</v>
      </c>
      <c r="AR47" s="18">
        <f t="shared" ref="AR47:AR58" si="127">M31-AR31</f>
        <v>2726.0006965560156</v>
      </c>
      <c r="AS47" s="18">
        <f t="shared" ref="AS47:AS58" si="128">N31-AS31</f>
        <v>3679.4757822869251</v>
      </c>
      <c r="AT47" s="18">
        <f t="shared" ref="AT47:AT58" si="129">O31-AT31</f>
        <v>4268.2092058233666</v>
      </c>
      <c r="AU47" s="18">
        <f t="shared" ref="AU47:AU58" si="130">P31-AU31</f>
        <v>4432.1770599943811</v>
      </c>
      <c r="AV47" s="18">
        <f t="shared" ref="AV47:AV58" si="131">Q31-AV31</f>
        <v>4099.8742528073217</v>
      </c>
      <c r="AW47" s="18">
        <f t="shared" ref="AW47:AW58" si="132">R31-AW31</f>
        <v>3373.8978012014613</v>
      </c>
      <c r="AX47" s="18">
        <f t="shared" ref="AX47:AX58" si="133">S31-AX31</f>
        <v>2421.1774831408848</v>
      </c>
      <c r="AY47" s="18">
        <f t="shared" ref="AY47:AY58" si="134">T31-AY31</f>
        <v>1296.3288567514505</v>
      </c>
      <c r="AZ47" s="18">
        <f t="shared" ref="AZ47:AZ58" si="135">U31-AZ31</f>
        <v>177.3299959852626</v>
      </c>
      <c r="BA47" s="18">
        <f t="shared" ref="BA47:BA58" si="136">V31-BA31</f>
        <v>0</v>
      </c>
      <c r="BB47" s="18">
        <f t="shared" ref="BB47:BB58" si="137">W31-BB31</f>
        <v>0</v>
      </c>
      <c r="BC47" s="18">
        <f t="shared" ref="BC47:BC58" si="138">X31-BC31</f>
        <v>0</v>
      </c>
      <c r="BD47" s="18">
        <f t="shared" ref="BD47:BD58" si="139">Y31-BD31</f>
        <v>0</v>
      </c>
      <c r="BE47" s="18">
        <f t="shared" ref="BE47:BE58" si="140">Z31-BE31</f>
        <v>0</v>
      </c>
      <c r="BF47" s="18">
        <v>31</v>
      </c>
      <c r="BG47" s="18">
        <f>SUM(AO47:BD47)*BF47*5/7</f>
        <v>640275.33559996611</v>
      </c>
      <c r="BH47" s="18">
        <f>BI47-BG47</f>
        <v>256110.13423998642</v>
      </c>
      <c r="BI47" s="18">
        <f t="shared" ref="BI47:BI58" si="141">BF47*(SUM(AH47:BE47))</f>
        <v>896385.46983995254</v>
      </c>
      <c r="BK47" s="18" t="s">
        <v>0</v>
      </c>
      <c r="BL47" s="17">
        <v>1</v>
      </c>
      <c r="BM47" s="18">
        <f>IF(AND(AH63&gt;0,BM31&gt;0,AH63&lt;BM31),AH63,IF(AND(AH63&gt;0,BM31&gt;0,AH63&gt;BM31),BM31,0))</f>
        <v>0</v>
      </c>
      <c r="BN47" s="18">
        <f>IF(AND(AI63&gt;0,BN31&gt;0,AI63&lt;BN31),AI63,IF(AND(AI63&gt;0,BN31&gt;0,AI63&gt;BN31),BN31,0))</f>
        <v>0</v>
      </c>
      <c r="BO47" s="18">
        <f t="shared" ref="BO47:CJ47" si="142">IF(AND(AJ63&gt;0,BO31&gt;0,AJ63&lt;BO31),AJ63,IF(AND(AJ63&gt;0,BO31&gt;0,AJ63&gt;BO31),BO31,0))</f>
        <v>0</v>
      </c>
      <c r="BP47" s="18">
        <f t="shared" si="142"/>
        <v>0</v>
      </c>
      <c r="BQ47" s="18">
        <f t="shared" si="142"/>
        <v>0</v>
      </c>
      <c r="BR47" s="18">
        <f t="shared" si="142"/>
        <v>0</v>
      </c>
      <c r="BS47" s="18">
        <f t="shared" si="142"/>
        <v>0</v>
      </c>
      <c r="BT47" s="18">
        <f t="shared" si="142"/>
        <v>0</v>
      </c>
      <c r="BU47" s="18">
        <f t="shared" si="142"/>
        <v>0</v>
      </c>
      <c r="BV47" s="18">
        <f t="shared" si="142"/>
        <v>0</v>
      </c>
      <c r="BW47" s="18">
        <f t="shared" si="142"/>
        <v>0</v>
      </c>
      <c r="BX47" s="18">
        <f t="shared" si="142"/>
        <v>0</v>
      </c>
      <c r="BY47" s="18">
        <f t="shared" si="142"/>
        <v>0</v>
      </c>
      <c r="BZ47" s="18">
        <f t="shared" si="142"/>
        <v>0</v>
      </c>
      <c r="CA47" s="18">
        <f t="shared" si="142"/>
        <v>0</v>
      </c>
      <c r="CB47" s="18">
        <f t="shared" si="142"/>
        <v>0</v>
      </c>
      <c r="CC47" s="18">
        <f t="shared" si="142"/>
        <v>0</v>
      </c>
      <c r="CD47" s="18">
        <f t="shared" si="142"/>
        <v>0</v>
      </c>
      <c r="CE47" s="18">
        <f t="shared" si="142"/>
        <v>0</v>
      </c>
      <c r="CF47" s="18">
        <f t="shared" si="142"/>
        <v>0</v>
      </c>
      <c r="CG47" s="18">
        <f t="shared" si="142"/>
        <v>0</v>
      </c>
      <c r="CH47" s="18">
        <f t="shared" si="142"/>
        <v>0</v>
      </c>
      <c r="CI47" s="18">
        <f t="shared" si="142"/>
        <v>0</v>
      </c>
      <c r="CJ47" s="18">
        <f t="shared" si="142"/>
        <v>0</v>
      </c>
      <c r="CK47" s="18">
        <v>31</v>
      </c>
      <c r="CL47" s="18">
        <f>SUM(BT47:CI47)*CK47*5/7</f>
        <v>0</v>
      </c>
      <c r="CM47" s="18">
        <f>CN47-CL47</f>
        <v>0</v>
      </c>
      <c r="CN47" s="18">
        <f t="shared" ref="CN47:CN58" si="143">CK47*(SUM(BM47:CJ47))</f>
        <v>0</v>
      </c>
    </row>
    <row r="48" spans="1:92" x14ac:dyDescent="0.25">
      <c r="A48" s="18" t="s">
        <v>1</v>
      </c>
      <c r="B48" s="17">
        <v>2</v>
      </c>
      <c r="C48" s="22">
        <v>0</v>
      </c>
      <c r="D48" s="22">
        <v>0</v>
      </c>
      <c r="E48" s="22">
        <v>0</v>
      </c>
      <c r="F48" s="22">
        <v>0</v>
      </c>
      <c r="G48" s="22">
        <v>0</v>
      </c>
      <c r="H48" s="22">
        <v>0</v>
      </c>
      <c r="I48" s="22">
        <v>7.5843692307692289E-3</v>
      </c>
      <c r="J48" s="22">
        <v>5.8989538461538447E-2</v>
      </c>
      <c r="K48" s="22">
        <v>0.19887901538461542</v>
      </c>
      <c r="L48" s="22">
        <v>0.35225181538461542</v>
      </c>
      <c r="M48" s="22">
        <v>0.49888295384615367</v>
      </c>
      <c r="N48" s="22">
        <v>0.62023286153846136</v>
      </c>
      <c r="O48" s="22">
        <v>0.7028182153846152</v>
      </c>
      <c r="P48" s="22">
        <v>0.7247286153846153</v>
      </c>
      <c r="Q48" s="22">
        <v>0.67922240000000023</v>
      </c>
      <c r="R48" s="22">
        <v>0.58231101538461538</v>
      </c>
      <c r="S48" s="22">
        <v>0.44579236923076909</v>
      </c>
      <c r="T48" s="22">
        <v>0.28314978461538448</v>
      </c>
      <c r="U48" s="22">
        <v>0.12556344615384615</v>
      </c>
      <c r="V48" s="22">
        <v>2.3595815384615398E-2</v>
      </c>
      <c r="W48" s="22">
        <v>0</v>
      </c>
      <c r="X48" s="22">
        <v>0</v>
      </c>
      <c r="Y48" s="22">
        <v>0</v>
      </c>
      <c r="Z48" s="22">
        <v>0</v>
      </c>
      <c r="AA48" s="22">
        <f>HLOOKUP('Summary Sheet'!$B$12,Working!$N$64:$X$76,Working!B48+1,0)</f>
        <v>1</v>
      </c>
      <c r="AF48" s="18" t="s">
        <v>1</v>
      </c>
      <c r="AG48" s="17">
        <v>2</v>
      </c>
      <c r="AH48" s="18">
        <f t="shared" si="117"/>
        <v>0</v>
      </c>
      <c r="AI48" s="18">
        <f t="shared" si="118"/>
        <v>0</v>
      </c>
      <c r="AJ48" s="18">
        <f t="shared" si="119"/>
        <v>0</v>
      </c>
      <c r="AK48" s="18">
        <f t="shared" si="120"/>
        <v>0</v>
      </c>
      <c r="AL48" s="18">
        <f t="shared" si="121"/>
        <v>0</v>
      </c>
      <c r="AM48" s="18">
        <f t="shared" si="122"/>
        <v>0</v>
      </c>
      <c r="AN48" s="18">
        <f t="shared" si="123"/>
        <v>0</v>
      </c>
      <c r="AO48" s="18">
        <f t="shared" si="124"/>
        <v>0</v>
      </c>
      <c r="AP48" s="18">
        <f t="shared" si="125"/>
        <v>551.06816899678051</v>
      </c>
      <c r="AQ48" s="18">
        <f t="shared" si="126"/>
        <v>1677.5864233642596</v>
      </c>
      <c r="AR48" s="18">
        <f t="shared" si="127"/>
        <v>2792.6819706639644</v>
      </c>
      <c r="AS48" s="18">
        <f t="shared" si="128"/>
        <v>3709.5690590401682</v>
      </c>
      <c r="AT48" s="18">
        <f t="shared" si="129"/>
        <v>4323.8267380124616</v>
      </c>
      <c r="AU48" s="18">
        <f t="shared" si="130"/>
        <v>4480.4455122740483</v>
      </c>
      <c r="AV48" s="18">
        <f t="shared" si="131"/>
        <v>4138.8646833989596</v>
      </c>
      <c r="AW48" s="18">
        <f t="shared" si="132"/>
        <v>3382.0501517491593</v>
      </c>
      <c r="AX48" s="18">
        <f t="shared" si="133"/>
        <v>2341.9385239308799</v>
      </c>
      <c r="AY48" s="18">
        <f t="shared" si="134"/>
        <v>1139.972612645196</v>
      </c>
      <c r="AZ48" s="18">
        <f t="shared" si="135"/>
        <v>0</v>
      </c>
      <c r="BA48" s="18">
        <f t="shared" si="136"/>
        <v>0</v>
      </c>
      <c r="BB48" s="18">
        <f t="shared" si="137"/>
        <v>0</v>
      </c>
      <c r="BC48" s="18">
        <f t="shared" si="138"/>
        <v>0</v>
      </c>
      <c r="BD48" s="18">
        <f t="shared" si="139"/>
        <v>0</v>
      </c>
      <c r="BE48" s="18">
        <f t="shared" si="140"/>
        <v>0</v>
      </c>
      <c r="BF48" s="18">
        <v>28</v>
      </c>
      <c r="BG48" s="18">
        <f t="shared" ref="BG48:BG58" si="144">SUM(AO48:BD48)*BF48*5/7</f>
        <v>570760.07688151754</v>
      </c>
      <c r="BH48" s="18">
        <f t="shared" ref="BH48:BH58" si="145">BI48-BG48</f>
        <v>228304.03075260704</v>
      </c>
      <c r="BI48" s="18">
        <f t="shared" si="141"/>
        <v>799064.10763412458</v>
      </c>
      <c r="BK48" s="18" t="s">
        <v>1</v>
      </c>
      <c r="BL48" s="17">
        <v>2</v>
      </c>
      <c r="BM48" s="18">
        <f t="shared" ref="BM48:BM58" si="146">IF(AND(AH64&gt;0,BM32&gt;0,AH64&lt;BM32),AH64,IF(AND(AH64&gt;0,BM32&gt;0,AH64&gt;BM32),BM32,0))</f>
        <v>0</v>
      </c>
      <c r="BN48" s="18">
        <f t="shared" ref="BN48:BN58" si="147">IF(AND(AI64&gt;0,BN32&gt;0,AI64&lt;BN32),AI64,IF(AND(AI64&gt;0,BN32&gt;0,AI64&gt;BN32),BN32,0))</f>
        <v>0</v>
      </c>
      <c r="BO48" s="18">
        <f t="shared" ref="BO48:BO58" si="148">IF(AND(AJ64&gt;0,BO32&gt;0,AJ64&lt;BO32),AJ64,IF(AND(AJ64&gt;0,BO32&gt;0,AJ64&gt;BO32),BO32,0))</f>
        <v>0</v>
      </c>
      <c r="BP48" s="18">
        <f t="shared" ref="BP48:BP58" si="149">IF(AND(AK64&gt;0,BP32&gt;0,AK64&lt;BP32),AK64,IF(AND(AK64&gt;0,BP32&gt;0,AK64&gt;BP32),BP32,0))</f>
        <v>0</v>
      </c>
      <c r="BQ48" s="18">
        <f t="shared" ref="BQ48:BQ58" si="150">IF(AND(AL64&gt;0,BQ32&gt;0,AL64&lt;BQ32),AL64,IF(AND(AL64&gt;0,BQ32&gt;0,AL64&gt;BQ32),BQ32,0))</f>
        <v>0</v>
      </c>
      <c r="BR48" s="18">
        <f t="shared" ref="BR48:BR58" si="151">IF(AND(AM64&gt;0,BR32&gt;0,AM64&lt;BR32),AM64,IF(AND(AM64&gt;0,BR32&gt;0,AM64&gt;BR32),BR32,0))</f>
        <v>0</v>
      </c>
      <c r="BS48" s="18">
        <f t="shared" ref="BS48:BS58" si="152">IF(AND(AN64&gt;0,BS32&gt;0,AN64&lt;BS32),AN64,IF(AND(AN64&gt;0,BS32&gt;0,AN64&gt;BS32),BS32,0))</f>
        <v>0</v>
      </c>
      <c r="BT48" s="18">
        <f t="shared" ref="BT48:BT58" si="153">IF(AND(AO64&gt;0,BT32&gt;0,AO64&lt;BT32),AO64,IF(AND(AO64&gt;0,BT32&gt;0,AO64&gt;BT32),BT32,0))</f>
        <v>0</v>
      </c>
      <c r="BU48" s="18">
        <f t="shared" ref="BU48:BU58" si="154">IF(AND(AP64&gt;0,BU32&gt;0,AP64&lt;BU32),AP64,IF(AND(AP64&gt;0,BU32&gt;0,AP64&gt;BU32),BU32,0))</f>
        <v>0</v>
      </c>
      <c r="BV48" s="18">
        <f t="shared" ref="BV48:BV58" si="155">IF(AND(AQ64&gt;0,BV32&gt;0,AQ64&lt;BV32),AQ64,IF(AND(AQ64&gt;0,BV32&gt;0,AQ64&gt;BV32),BV32,0))</f>
        <v>0</v>
      </c>
      <c r="BW48" s="18">
        <f t="shared" ref="BW48:BW58" si="156">IF(AND(AR64&gt;0,BW32&gt;0,AR64&lt;BW32),AR64,IF(AND(AR64&gt;0,BW32&gt;0,AR64&gt;BW32),BW32,0))</f>
        <v>0</v>
      </c>
      <c r="BX48" s="18">
        <f t="shared" ref="BX48:BX58" si="157">IF(AND(AS64&gt;0,BX32&gt;0,AS64&lt;BX32),AS64,IF(AND(AS64&gt;0,BX32&gt;0,AS64&gt;BX32),BX32,0))</f>
        <v>0</v>
      </c>
      <c r="BY48" s="18">
        <f t="shared" ref="BY48:BY58" si="158">IF(AND(AT64&gt;0,BY32&gt;0,AT64&lt;BY32),AT64,IF(AND(AT64&gt;0,BY32&gt;0,AT64&gt;BY32),BY32,0))</f>
        <v>0</v>
      </c>
      <c r="BZ48" s="18">
        <f t="shared" ref="BZ48:BZ58" si="159">IF(AND(AU64&gt;0,BZ32&gt;0,AU64&lt;BZ32),AU64,IF(AND(AU64&gt;0,BZ32&gt;0,AU64&gt;BZ32),BZ32,0))</f>
        <v>0</v>
      </c>
      <c r="CA48" s="18">
        <f t="shared" ref="CA48:CA58" si="160">IF(AND(AV64&gt;0,CA32&gt;0,AV64&lt;CA32),AV64,IF(AND(AV64&gt;0,CA32&gt;0,AV64&gt;CA32),CA32,0))</f>
        <v>0</v>
      </c>
      <c r="CB48" s="18">
        <f t="shared" ref="CB48:CB58" si="161">IF(AND(AW64&gt;0,CB32&gt;0,AW64&lt;CB32),AW64,IF(AND(AW64&gt;0,CB32&gt;0,AW64&gt;CB32),CB32,0))</f>
        <v>0</v>
      </c>
      <c r="CC48" s="18">
        <f t="shared" ref="CC48:CC58" si="162">IF(AND(AX64&gt;0,CC32&gt;0,AX64&lt;CC32),AX64,IF(AND(AX64&gt;0,CC32&gt;0,AX64&gt;CC32),CC32,0))</f>
        <v>0</v>
      </c>
      <c r="CD48" s="18">
        <f t="shared" ref="CD48:CD58" si="163">IF(AND(AY64&gt;0,CD32&gt;0,AY64&lt;CD32),AY64,IF(AND(AY64&gt;0,CD32&gt;0,AY64&gt;CD32),CD32,0))</f>
        <v>0</v>
      </c>
      <c r="CE48" s="18">
        <f t="shared" ref="CE48:CE58" si="164">IF(AND(AZ64&gt;0,CE32&gt;0,AZ64&lt;CE32),AZ64,IF(AND(AZ64&gt;0,CE32&gt;0,AZ64&gt;CE32),CE32,0))</f>
        <v>0</v>
      </c>
      <c r="CF48" s="18">
        <f t="shared" ref="CF48:CF58" si="165">IF(AND(BA64&gt;0,CF32&gt;0,BA64&lt;CF32),BA64,IF(AND(BA64&gt;0,CF32&gt;0,BA64&gt;CF32),CF32,0))</f>
        <v>0</v>
      </c>
      <c r="CG48" s="18">
        <f t="shared" ref="CG48:CG58" si="166">IF(AND(BB64&gt;0,CG32&gt;0,BB64&lt;CG32),BB64,IF(AND(BB64&gt;0,CG32&gt;0,BB64&gt;CG32),CG32,0))</f>
        <v>0</v>
      </c>
      <c r="CH48" s="18">
        <f t="shared" ref="CH48:CH58" si="167">IF(AND(BC64&gt;0,CH32&gt;0,BC64&lt;CH32),BC64,IF(AND(BC64&gt;0,CH32&gt;0,BC64&gt;CH32),CH32,0))</f>
        <v>0</v>
      </c>
      <c r="CI48" s="18">
        <f t="shared" ref="CI48:CI58" si="168">IF(AND(BD64&gt;0,CI32&gt;0,BD64&lt;CI32),BD64,IF(AND(BD64&gt;0,CI32&gt;0,BD64&gt;CI32),CI32,0))</f>
        <v>0</v>
      </c>
      <c r="CJ48" s="18">
        <f t="shared" ref="CJ48:CJ58" si="169">IF(AND(BE64&gt;0,CJ32&gt;0,BE64&lt;CJ32),BE64,IF(AND(BE64&gt;0,CJ32&gt;0,BE64&gt;CJ32),CJ32,0))</f>
        <v>0</v>
      </c>
      <c r="CK48" s="18">
        <v>28</v>
      </c>
      <c r="CL48" s="18">
        <f t="shared" ref="CL48:CL58" si="170">SUM(BT48:CI48)*CK48*5/7</f>
        <v>0</v>
      </c>
      <c r="CM48" s="18">
        <f t="shared" ref="CM48:CM58" si="171">CN48-CL48</f>
        <v>0</v>
      </c>
      <c r="CN48" s="18">
        <f t="shared" si="143"/>
        <v>0</v>
      </c>
    </row>
    <row r="49" spans="1:94" x14ac:dyDescent="0.25">
      <c r="A49" s="18" t="s">
        <v>2</v>
      </c>
      <c r="B49" s="17">
        <v>3</v>
      </c>
      <c r="C49" s="22">
        <v>0</v>
      </c>
      <c r="D49" s="22">
        <v>0</v>
      </c>
      <c r="E49" s="22">
        <v>0</v>
      </c>
      <c r="F49" s="22">
        <v>0</v>
      </c>
      <c r="G49" s="22">
        <v>0</v>
      </c>
      <c r="H49" s="22">
        <v>0</v>
      </c>
      <c r="I49" s="22">
        <v>8.4270769230769191E-4</v>
      </c>
      <c r="J49" s="22">
        <v>2.8652061538461528E-2</v>
      </c>
      <c r="K49" s="22">
        <v>0.16769883076923081</v>
      </c>
      <c r="L49" s="22">
        <v>0.3202289230769233</v>
      </c>
      <c r="M49" s="22">
        <v>0.46096110769230747</v>
      </c>
      <c r="N49" s="22">
        <v>0.56967040000000024</v>
      </c>
      <c r="O49" s="22">
        <v>0.63792972307692297</v>
      </c>
      <c r="P49" s="22">
        <v>0.65731199999999979</v>
      </c>
      <c r="Q49" s="22">
        <v>0.60674953846153834</v>
      </c>
      <c r="R49" s="22">
        <v>0.51236627692307679</v>
      </c>
      <c r="S49" s="22">
        <v>0.37331950769230793</v>
      </c>
      <c r="T49" s="22">
        <v>0.21994670769230787</v>
      </c>
      <c r="U49" s="22">
        <v>5.4776000000000019E-2</v>
      </c>
      <c r="V49" s="22">
        <v>5.0562461538461558E-3</v>
      </c>
      <c r="W49" s="22">
        <v>0</v>
      </c>
      <c r="X49" s="22">
        <v>0</v>
      </c>
      <c r="Y49" s="22">
        <v>0</v>
      </c>
      <c r="Z49" s="22">
        <v>0</v>
      </c>
      <c r="AA49" s="22">
        <f>HLOOKUP('Summary Sheet'!$B$12,Working!$N$64:$X$76,Working!B49+1,0)</f>
        <v>1</v>
      </c>
      <c r="AF49" s="18" t="s">
        <v>2</v>
      </c>
      <c r="AG49" s="17">
        <v>3</v>
      </c>
      <c r="AH49" s="18">
        <f t="shared" si="117"/>
        <v>0</v>
      </c>
      <c r="AI49" s="18">
        <f t="shared" si="118"/>
        <v>0</v>
      </c>
      <c r="AJ49" s="18">
        <f t="shared" si="119"/>
        <v>0</v>
      </c>
      <c r="AK49" s="18">
        <f t="shared" si="120"/>
        <v>0</v>
      </c>
      <c r="AL49" s="18">
        <f t="shared" si="121"/>
        <v>0</v>
      </c>
      <c r="AM49" s="18">
        <f t="shared" si="122"/>
        <v>0</v>
      </c>
      <c r="AN49" s="18">
        <f t="shared" si="123"/>
        <v>0</v>
      </c>
      <c r="AO49" s="18">
        <f t="shared" si="124"/>
        <v>0</v>
      </c>
      <c r="AP49" s="18">
        <f t="shared" si="125"/>
        <v>248.77820185674136</v>
      </c>
      <c r="AQ49" s="18">
        <f t="shared" si="126"/>
        <v>1366.9155040907174</v>
      </c>
      <c r="AR49" s="18">
        <f t="shared" si="127"/>
        <v>2407.8532823840646</v>
      </c>
      <c r="AS49" s="18">
        <f t="shared" si="128"/>
        <v>3218.5915047565331</v>
      </c>
      <c r="AT49" s="18">
        <f t="shared" si="129"/>
        <v>3715.6146854134172</v>
      </c>
      <c r="AU49" s="18">
        <f t="shared" si="130"/>
        <v>3882.2101228242709</v>
      </c>
      <c r="AV49" s="18">
        <f t="shared" si="131"/>
        <v>3508.6407132800578</v>
      </c>
      <c r="AW49" s="18">
        <f t="shared" si="132"/>
        <v>2788.9689947733591</v>
      </c>
      <c r="AX49" s="18">
        <f t="shared" si="133"/>
        <v>1701.785735450889</v>
      </c>
      <c r="AY49" s="18">
        <f t="shared" si="134"/>
        <v>543.42693294116384</v>
      </c>
      <c r="AZ49" s="18">
        <f t="shared" si="135"/>
        <v>0</v>
      </c>
      <c r="BA49" s="18">
        <f t="shared" si="136"/>
        <v>0</v>
      </c>
      <c r="BB49" s="18">
        <f t="shared" si="137"/>
        <v>0</v>
      </c>
      <c r="BC49" s="18">
        <f t="shared" si="138"/>
        <v>0</v>
      </c>
      <c r="BD49" s="18">
        <f t="shared" si="139"/>
        <v>0</v>
      </c>
      <c r="BE49" s="18">
        <f t="shared" si="140"/>
        <v>0</v>
      </c>
      <c r="BF49" s="18">
        <v>31</v>
      </c>
      <c r="BG49" s="18">
        <f t="shared" si="144"/>
        <v>517761.68286493409</v>
      </c>
      <c r="BH49" s="18">
        <f t="shared" si="145"/>
        <v>207104.67314597359</v>
      </c>
      <c r="BI49" s="18">
        <f t="shared" si="141"/>
        <v>724866.35601090768</v>
      </c>
      <c r="BK49" s="18" t="s">
        <v>2</v>
      </c>
      <c r="BL49" s="17">
        <v>3</v>
      </c>
      <c r="BM49" s="18">
        <f t="shared" si="146"/>
        <v>0</v>
      </c>
      <c r="BN49" s="18">
        <f t="shared" si="147"/>
        <v>0</v>
      </c>
      <c r="BO49" s="18">
        <f t="shared" si="148"/>
        <v>0</v>
      </c>
      <c r="BP49" s="18">
        <f t="shared" si="149"/>
        <v>0</v>
      </c>
      <c r="BQ49" s="18">
        <f t="shared" si="150"/>
        <v>0</v>
      </c>
      <c r="BR49" s="18">
        <f t="shared" si="151"/>
        <v>0</v>
      </c>
      <c r="BS49" s="18">
        <f t="shared" si="152"/>
        <v>0</v>
      </c>
      <c r="BT49" s="18">
        <f t="shared" si="153"/>
        <v>0</v>
      </c>
      <c r="BU49" s="18">
        <f t="shared" si="154"/>
        <v>0</v>
      </c>
      <c r="BV49" s="18">
        <f t="shared" si="155"/>
        <v>0</v>
      </c>
      <c r="BW49" s="18">
        <f t="shared" si="156"/>
        <v>0</v>
      </c>
      <c r="BX49" s="18">
        <f t="shared" si="157"/>
        <v>0</v>
      </c>
      <c r="BY49" s="18">
        <f t="shared" si="158"/>
        <v>0</v>
      </c>
      <c r="BZ49" s="18">
        <f t="shared" si="159"/>
        <v>0</v>
      </c>
      <c r="CA49" s="18">
        <f t="shared" si="160"/>
        <v>0</v>
      </c>
      <c r="CB49" s="18">
        <f t="shared" si="161"/>
        <v>0</v>
      </c>
      <c r="CC49" s="18">
        <f t="shared" si="162"/>
        <v>0</v>
      </c>
      <c r="CD49" s="18">
        <f t="shared" si="163"/>
        <v>0</v>
      </c>
      <c r="CE49" s="18">
        <f t="shared" si="164"/>
        <v>0</v>
      </c>
      <c r="CF49" s="18">
        <f t="shared" si="165"/>
        <v>0</v>
      </c>
      <c r="CG49" s="18">
        <f t="shared" si="166"/>
        <v>0</v>
      </c>
      <c r="CH49" s="18">
        <f t="shared" si="167"/>
        <v>0</v>
      </c>
      <c r="CI49" s="18">
        <f t="shared" si="168"/>
        <v>0</v>
      </c>
      <c r="CJ49" s="18">
        <f t="shared" si="169"/>
        <v>0</v>
      </c>
      <c r="CK49" s="18">
        <v>31</v>
      </c>
      <c r="CL49" s="18">
        <f t="shared" si="170"/>
        <v>0</v>
      </c>
      <c r="CM49" s="18">
        <f t="shared" si="171"/>
        <v>0</v>
      </c>
      <c r="CN49" s="18">
        <f t="shared" si="143"/>
        <v>0</v>
      </c>
    </row>
    <row r="50" spans="1:94" x14ac:dyDescent="0.25">
      <c r="A50" s="18" t="s">
        <v>3</v>
      </c>
      <c r="B50" s="17">
        <v>4</v>
      </c>
      <c r="C50" s="22">
        <v>0</v>
      </c>
      <c r="D50" s="22">
        <v>0</v>
      </c>
      <c r="E50" s="22">
        <v>0</v>
      </c>
      <c r="F50" s="22">
        <v>0</v>
      </c>
      <c r="G50" s="22">
        <v>0</v>
      </c>
      <c r="H50" s="22">
        <v>0</v>
      </c>
      <c r="I50" s="22">
        <v>0</v>
      </c>
      <c r="J50" s="22">
        <v>8.4270769230769208E-3</v>
      </c>
      <c r="K50" s="22">
        <v>9.7754092307692261E-2</v>
      </c>
      <c r="L50" s="22">
        <v>0.27135187692307694</v>
      </c>
      <c r="M50" s="22">
        <v>0.41039864615384625</v>
      </c>
      <c r="N50" s="22">
        <v>0.49972566153846121</v>
      </c>
      <c r="O50" s="22">
        <v>0.56124332307692337</v>
      </c>
      <c r="P50" s="22">
        <v>0.55618707692307701</v>
      </c>
      <c r="Q50" s="22">
        <v>0.50309649230769238</v>
      </c>
      <c r="R50" s="22">
        <v>0.40534239999999988</v>
      </c>
      <c r="S50" s="22">
        <v>0.27640812307692303</v>
      </c>
      <c r="T50" s="22">
        <v>0.10196763076923072</v>
      </c>
      <c r="U50" s="22">
        <v>1.011249230769231E-2</v>
      </c>
      <c r="V50" s="22">
        <v>0</v>
      </c>
      <c r="W50" s="22">
        <v>0</v>
      </c>
      <c r="X50" s="22">
        <v>0</v>
      </c>
      <c r="Y50" s="22">
        <v>0</v>
      </c>
      <c r="Z50" s="22">
        <v>0</v>
      </c>
      <c r="AA50" s="22">
        <f>HLOOKUP('Summary Sheet'!$B$12,Working!$N$64:$X$76,Working!B50+1,0)</f>
        <v>1</v>
      </c>
      <c r="AF50" s="18" t="s">
        <v>3</v>
      </c>
      <c r="AG50" s="17">
        <v>4</v>
      </c>
      <c r="AH50" s="18">
        <f t="shared" si="117"/>
        <v>0</v>
      </c>
      <c r="AI50" s="18">
        <f t="shared" si="118"/>
        <v>0</v>
      </c>
      <c r="AJ50" s="18">
        <f t="shared" si="119"/>
        <v>0</v>
      </c>
      <c r="AK50" s="18">
        <f t="shared" si="120"/>
        <v>0</v>
      </c>
      <c r="AL50" s="18">
        <f t="shared" si="121"/>
        <v>0</v>
      </c>
      <c r="AM50" s="18">
        <f t="shared" si="122"/>
        <v>0</v>
      </c>
      <c r="AN50" s="18">
        <f t="shared" si="123"/>
        <v>0</v>
      </c>
      <c r="AO50" s="18">
        <f t="shared" si="124"/>
        <v>0</v>
      </c>
      <c r="AP50" s="18">
        <f t="shared" si="125"/>
        <v>0</v>
      </c>
      <c r="AQ50" s="18">
        <f t="shared" si="126"/>
        <v>1241.1084847698894</v>
      </c>
      <c r="AR50" s="18">
        <f t="shared" si="127"/>
        <v>2281.9270605613301</v>
      </c>
      <c r="AS50" s="18">
        <f t="shared" si="128"/>
        <v>2987.5557103193892</v>
      </c>
      <c r="AT50" s="18">
        <f t="shared" si="129"/>
        <v>3452.1369768186196</v>
      </c>
      <c r="AU50" s="18">
        <f t="shared" si="130"/>
        <v>3393.4654179697191</v>
      </c>
      <c r="AV50" s="18">
        <f t="shared" si="131"/>
        <v>2980.178914112324</v>
      </c>
      <c r="AW50" s="18">
        <f t="shared" si="132"/>
        <v>2226.2326634458968</v>
      </c>
      <c r="AX50" s="18">
        <f t="shared" si="133"/>
        <v>1212.9263261488263</v>
      </c>
      <c r="AY50" s="18">
        <f t="shared" si="134"/>
        <v>0</v>
      </c>
      <c r="AZ50" s="18">
        <f t="shared" si="135"/>
        <v>0</v>
      </c>
      <c r="BA50" s="18">
        <f t="shared" si="136"/>
        <v>0</v>
      </c>
      <c r="BB50" s="18">
        <f t="shared" si="137"/>
        <v>0</v>
      </c>
      <c r="BC50" s="18">
        <f t="shared" si="138"/>
        <v>0</v>
      </c>
      <c r="BD50" s="18">
        <f t="shared" si="139"/>
        <v>0</v>
      </c>
      <c r="BE50" s="18">
        <f t="shared" si="140"/>
        <v>0</v>
      </c>
      <c r="BF50" s="18">
        <v>30</v>
      </c>
      <c r="BG50" s="18">
        <f t="shared" si="144"/>
        <v>423761.39044598571</v>
      </c>
      <c r="BH50" s="18">
        <f t="shared" si="145"/>
        <v>169504.55617839424</v>
      </c>
      <c r="BI50" s="18">
        <f t="shared" si="141"/>
        <v>593265.94662437995</v>
      </c>
      <c r="BJ50" s="31"/>
      <c r="BK50" s="18" t="s">
        <v>3</v>
      </c>
      <c r="BL50" s="17">
        <v>4</v>
      </c>
      <c r="BM50" s="18">
        <f t="shared" si="146"/>
        <v>0</v>
      </c>
      <c r="BN50" s="18">
        <f t="shared" si="147"/>
        <v>0</v>
      </c>
      <c r="BO50" s="18">
        <f t="shared" si="148"/>
        <v>0</v>
      </c>
      <c r="BP50" s="18">
        <f t="shared" si="149"/>
        <v>0</v>
      </c>
      <c r="BQ50" s="18">
        <f t="shared" si="150"/>
        <v>0</v>
      </c>
      <c r="BR50" s="18">
        <f t="shared" si="151"/>
        <v>0</v>
      </c>
      <c r="BS50" s="18">
        <f t="shared" si="152"/>
        <v>0</v>
      </c>
      <c r="BT50" s="18">
        <f t="shared" si="153"/>
        <v>0</v>
      </c>
      <c r="BU50" s="18">
        <f t="shared" si="154"/>
        <v>0</v>
      </c>
      <c r="BV50" s="18">
        <f t="shared" si="155"/>
        <v>0</v>
      </c>
      <c r="BW50" s="18">
        <f t="shared" si="156"/>
        <v>0</v>
      </c>
      <c r="BX50" s="18">
        <f t="shared" si="157"/>
        <v>0</v>
      </c>
      <c r="BY50" s="18">
        <f t="shared" si="158"/>
        <v>0</v>
      </c>
      <c r="BZ50" s="18">
        <f t="shared" si="159"/>
        <v>0</v>
      </c>
      <c r="CA50" s="18">
        <f t="shared" si="160"/>
        <v>0</v>
      </c>
      <c r="CB50" s="18">
        <f t="shared" si="161"/>
        <v>0</v>
      </c>
      <c r="CC50" s="18">
        <f t="shared" si="162"/>
        <v>0</v>
      </c>
      <c r="CD50" s="18">
        <f t="shared" si="163"/>
        <v>0</v>
      </c>
      <c r="CE50" s="18">
        <f t="shared" si="164"/>
        <v>0</v>
      </c>
      <c r="CF50" s="18">
        <f t="shared" si="165"/>
        <v>0</v>
      </c>
      <c r="CG50" s="18">
        <f t="shared" si="166"/>
        <v>0</v>
      </c>
      <c r="CH50" s="18">
        <f t="shared" si="167"/>
        <v>0</v>
      </c>
      <c r="CI50" s="18">
        <f t="shared" si="168"/>
        <v>0</v>
      </c>
      <c r="CJ50" s="18">
        <f t="shared" si="169"/>
        <v>0</v>
      </c>
      <c r="CK50" s="18">
        <v>30</v>
      </c>
      <c r="CL50" s="18">
        <f t="shared" si="170"/>
        <v>0</v>
      </c>
      <c r="CM50" s="18">
        <f t="shared" si="171"/>
        <v>0</v>
      </c>
      <c r="CN50" s="18">
        <f t="shared" si="143"/>
        <v>0</v>
      </c>
    </row>
    <row r="51" spans="1:94" x14ac:dyDescent="0.25">
      <c r="A51" s="18" t="s">
        <v>4</v>
      </c>
      <c r="B51" s="17">
        <v>5</v>
      </c>
      <c r="C51" s="22">
        <v>0</v>
      </c>
      <c r="D51" s="22">
        <v>0</v>
      </c>
      <c r="E51" s="22">
        <v>0</v>
      </c>
      <c r="F51" s="22">
        <v>0</v>
      </c>
      <c r="G51" s="22">
        <v>0</v>
      </c>
      <c r="H51" s="22">
        <v>0</v>
      </c>
      <c r="I51" s="22">
        <v>0</v>
      </c>
      <c r="J51" s="22">
        <v>8.4270769230769191E-4</v>
      </c>
      <c r="K51" s="22">
        <v>3.4551015384615379E-2</v>
      </c>
      <c r="L51" s="22">
        <v>0.19045193846153835</v>
      </c>
      <c r="M51" s="22">
        <v>0.3219143384615385</v>
      </c>
      <c r="N51" s="22">
        <v>0.41461218461538479</v>
      </c>
      <c r="O51" s="22">
        <v>0.45084861538461546</v>
      </c>
      <c r="P51" s="22">
        <v>0.44410695384615428</v>
      </c>
      <c r="Q51" s="22">
        <v>0.39017366153846184</v>
      </c>
      <c r="R51" s="22">
        <v>0.29241956923076934</v>
      </c>
      <c r="S51" s="22">
        <v>0.17191236923076922</v>
      </c>
      <c r="T51" s="22">
        <v>2.7809353846153836E-2</v>
      </c>
      <c r="U51" s="22">
        <v>8.4270769230769191E-4</v>
      </c>
      <c r="V51" s="22">
        <v>0</v>
      </c>
      <c r="W51" s="22">
        <v>0</v>
      </c>
      <c r="X51" s="22">
        <v>0</v>
      </c>
      <c r="Y51" s="22">
        <v>0</v>
      </c>
      <c r="Z51" s="22">
        <v>0</v>
      </c>
      <c r="AA51" s="22">
        <f>HLOOKUP('Summary Sheet'!$B$12,Working!$N$64:$X$76,Working!B51+1,0)</f>
        <v>1</v>
      </c>
      <c r="AF51" s="18" t="s">
        <v>4</v>
      </c>
      <c r="AG51" s="17">
        <v>5</v>
      </c>
      <c r="AH51" s="18">
        <f t="shared" si="117"/>
        <v>0</v>
      </c>
      <c r="AI51" s="18">
        <f t="shared" si="118"/>
        <v>0</v>
      </c>
      <c r="AJ51" s="18">
        <f t="shared" si="119"/>
        <v>0</v>
      </c>
      <c r="AK51" s="18">
        <f t="shared" si="120"/>
        <v>0</v>
      </c>
      <c r="AL51" s="18">
        <f t="shared" si="121"/>
        <v>0</v>
      </c>
      <c r="AM51" s="18">
        <f t="shared" si="122"/>
        <v>0</v>
      </c>
      <c r="AN51" s="18">
        <f t="shared" si="123"/>
        <v>0</v>
      </c>
      <c r="AO51" s="18">
        <f t="shared" si="124"/>
        <v>0</v>
      </c>
      <c r="AP51" s="18">
        <f t="shared" si="125"/>
        <v>0</v>
      </c>
      <c r="AQ51" s="18">
        <f t="shared" si="126"/>
        <v>582.28679265411085</v>
      </c>
      <c r="AR51" s="18">
        <f t="shared" si="127"/>
        <v>1587.8031595202885</v>
      </c>
      <c r="AS51" s="18">
        <f t="shared" si="128"/>
        <v>2324.1284232013286</v>
      </c>
      <c r="AT51" s="18">
        <f t="shared" si="129"/>
        <v>2611.7353651295593</v>
      </c>
      <c r="AU51" s="18">
        <f t="shared" si="130"/>
        <v>2559.2744966472028</v>
      </c>
      <c r="AV51" s="18">
        <f t="shared" si="131"/>
        <v>2145.0948861476072</v>
      </c>
      <c r="AW51" s="18">
        <f t="shared" si="132"/>
        <v>1383.4870918389561</v>
      </c>
      <c r="AX51" s="18">
        <f t="shared" si="133"/>
        <v>392.11698025058899</v>
      </c>
      <c r="AY51" s="18">
        <f t="shared" si="134"/>
        <v>0</v>
      </c>
      <c r="AZ51" s="18">
        <f t="shared" si="135"/>
        <v>0</v>
      </c>
      <c r="BA51" s="18">
        <f t="shared" si="136"/>
        <v>0</v>
      </c>
      <c r="BB51" s="18">
        <f t="shared" si="137"/>
        <v>0</v>
      </c>
      <c r="BC51" s="18">
        <f t="shared" si="138"/>
        <v>0</v>
      </c>
      <c r="BD51" s="18">
        <f t="shared" si="139"/>
        <v>0</v>
      </c>
      <c r="BE51" s="18">
        <f t="shared" si="140"/>
        <v>0</v>
      </c>
      <c r="BF51" s="18">
        <v>31</v>
      </c>
      <c r="BG51" s="18">
        <f t="shared" si="144"/>
        <v>300831.24504077062</v>
      </c>
      <c r="BH51" s="18">
        <f t="shared" si="145"/>
        <v>120332.49801630824</v>
      </c>
      <c r="BI51" s="18">
        <f t="shared" si="141"/>
        <v>421163.74305707886</v>
      </c>
      <c r="BK51" s="18" t="s">
        <v>4</v>
      </c>
      <c r="BL51" s="17">
        <v>5</v>
      </c>
      <c r="BM51" s="18">
        <f t="shared" si="146"/>
        <v>0</v>
      </c>
      <c r="BN51" s="18">
        <f t="shared" si="147"/>
        <v>0</v>
      </c>
      <c r="BO51" s="18">
        <f t="shared" si="148"/>
        <v>0</v>
      </c>
      <c r="BP51" s="18">
        <f t="shared" si="149"/>
        <v>0</v>
      </c>
      <c r="BQ51" s="18">
        <f t="shared" si="150"/>
        <v>0</v>
      </c>
      <c r="BR51" s="18">
        <f t="shared" si="151"/>
        <v>0</v>
      </c>
      <c r="BS51" s="18">
        <f t="shared" si="152"/>
        <v>0</v>
      </c>
      <c r="BT51" s="18">
        <f t="shared" si="153"/>
        <v>0</v>
      </c>
      <c r="BU51" s="18">
        <f t="shared" si="154"/>
        <v>0</v>
      </c>
      <c r="BV51" s="18">
        <f t="shared" si="155"/>
        <v>0</v>
      </c>
      <c r="BW51" s="18">
        <f t="shared" si="156"/>
        <v>0</v>
      </c>
      <c r="BX51" s="18">
        <f t="shared" si="157"/>
        <v>0</v>
      </c>
      <c r="BY51" s="18">
        <f t="shared" si="158"/>
        <v>0</v>
      </c>
      <c r="BZ51" s="18">
        <f t="shared" si="159"/>
        <v>0</v>
      </c>
      <c r="CA51" s="18">
        <f t="shared" si="160"/>
        <v>0</v>
      </c>
      <c r="CB51" s="18">
        <f t="shared" si="161"/>
        <v>0</v>
      </c>
      <c r="CC51" s="18">
        <f t="shared" si="162"/>
        <v>0</v>
      </c>
      <c r="CD51" s="18">
        <f t="shared" si="163"/>
        <v>0</v>
      </c>
      <c r="CE51" s="18">
        <f t="shared" si="164"/>
        <v>0</v>
      </c>
      <c r="CF51" s="18">
        <f t="shared" si="165"/>
        <v>0</v>
      </c>
      <c r="CG51" s="18">
        <f t="shared" si="166"/>
        <v>0</v>
      </c>
      <c r="CH51" s="18">
        <f t="shared" si="167"/>
        <v>0</v>
      </c>
      <c r="CI51" s="18">
        <f t="shared" si="168"/>
        <v>0</v>
      </c>
      <c r="CJ51" s="18">
        <f t="shared" si="169"/>
        <v>0</v>
      </c>
      <c r="CK51" s="18">
        <v>31</v>
      </c>
      <c r="CL51" s="18">
        <f t="shared" si="170"/>
        <v>0</v>
      </c>
      <c r="CM51" s="18">
        <f t="shared" si="171"/>
        <v>0</v>
      </c>
      <c r="CN51" s="18">
        <f t="shared" si="143"/>
        <v>0</v>
      </c>
    </row>
    <row r="52" spans="1:94" x14ac:dyDescent="0.25">
      <c r="A52" s="18" t="s">
        <v>5</v>
      </c>
      <c r="B52" s="17">
        <v>6</v>
      </c>
      <c r="C52" s="22">
        <v>0</v>
      </c>
      <c r="D52" s="22">
        <v>0</v>
      </c>
      <c r="E52" s="22">
        <v>0</v>
      </c>
      <c r="F52" s="22">
        <v>0</v>
      </c>
      <c r="G52" s="22">
        <v>0</v>
      </c>
      <c r="H52" s="22">
        <v>0</v>
      </c>
      <c r="I52" s="22">
        <v>0</v>
      </c>
      <c r="J52" s="22">
        <v>0</v>
      </c>
      <c r="K52" s="22">
        <v>1.4326030769230766E-2</v>
      </c>
      <c r="L52" s="22">
        <v>0.11797907692307689</v>
      </c>
      <c r="M52" s="22">
        <v>0.26713833846153862</v>
      </c>
      <c r="N52" s="22">
        <v>0.36573513846153843</v>
      </c>
      <c r="O52" s="22">
        <v>0.40281427692307709</v>
      </c>
      <c r="P52" s="22">
        <v>0.38596012307692329</v>
      </c>
      <c r="Q52" s="22">
        <v>0.34129661538461514</v>
      </c>
      <c r="R52" s="22">
        <v>0.25196960000000007</v>
      </c>
      <c r="S52" s="22">
        <v>0.1314623999999999</v>
      </c>
      <c r="T52" s="22">
        <v>1.6854153846153842E-2</v>
      </c>
      <c r="U52" s="22">
        <v>0</v>
      </c>
      <c r="V52" s="22">
        <v>0</v>
      </c>
      <c r="W52" s="22">
        <v>0</v>
      </c>
      <c r="X52" s="22">
        <v>0</v>
      </c>
      <c r="Y52" s="22">
        <v>0</v>
      </c>
      <c r="Z52" s="22">
        <v>0</v>
      </c>
      <c r="AA52" s="22">
        <f>HLOOKUP('Summary Sheet'!$B$12,Working!$N$64:$X$76,Working!B52+1,0)</f>
        <v>1</v>
      </c>
      <c r="AF52" s="18" t="s">
        <v>5</v>
      </c>
      <c r="AG52" s="17">
        <v>6</v>
      </c>
      <c r="AH52" s="18">
        <f t="shared" si="117"/>
        <v>0</v>
      </c>
      <c r="AI52" s="18">
        <f t="shared" si="118"/>
        <v>0</v>
      </c>
      <c r="AJ52" s="18">
        <f t="shared" si="119"/>
        <v>0</v>
      </c>
      <c r="AK52" s="18">
        <f t="shared" si="120"/>
        <v>0</v>
      </c>
      <c r="AL52" s="18">
        <f t="shared" si="121"/>
        <v>0</v>
      </c>
      <c r="AM52" s="18">
        <f t="shared" si="122"/>
        <v>0</v>
      </c>
      <c r="AN52" s="18">
        <f t="shared" si="123"/>
        <v>0</v>
      </c>
      <c r="AO52" s="18">
        <f t="shared" si="124"/>
        <v>0</v>
      </c>
      <c r="AP52" s="18">
        <f t="shared" si="125"/>
        <v>0</v>
      </c>
      <c r="AQ52" s="18">
        <f t="shared" si="126"/>
        <v>0</v>
      </c>
      <c r="AR52" s="18">
        <f t="shared" si="127"/>
        <v>1066.3951587540632</v>
      </c>
      <c r="AS52" s="18">
        <f t="shared" si="128"/>
        <v>1864.7823182451675</v>
      </c>
      <c r="AT52" s="18">
        <f t="shared" si="129"/>
        <v>2169.1102811964438</v>
      </c>
      <c r="AU52" s="18">
        <f t="shared" si="130"/>
        <v>2051.7685302889581</v>
      </c>
      <c r="AV52" s="18">
        <f t="shared" si="131"/>
        <v>1717.2389817259698</v>
      </c>
      <c r="AW52" s="18">
        <f t="shared" si="132"/>
        <v>1024.1029487742053</v>
      </c>
      <c r="AX52" s="18">
        <f t="shared" si="133"/>
        <v>33.410313022424134</v>
      </c>
      <c r="AY52" s="18">
        <f t="shared" si="134"/>
        <v>0</v>
      </c>
      <c r="AZ52" s="18">
        <f t="shared" si="135"/>
        <v>0</v>
      </c>
      <c r="BA52" s="18">
        <f t="shared" si="136"/>
        <v>0</v>
      </c>
      <c r="BB52" s="18">
        <f t="shared" si="137"/>
        <v>0</v>
      </c>
      <c r="BC52" s="18">
        <f t="shared" si="138"/>
        <v>0</v>
      </c>
      <c r="BD52" s="18">
        <f t="shared" si="139"/>
        <v>0</v>
      </c>
      <c r="BE52" s="18">
        <f t="shared" si="140"/>
        <v>0</v>
      </c>
      <c r="BF52" s="18">
        <v>30</v>
      </c>
      <c r="BG52" s="18">
        <f t="shared" si="144"/>
        <v>212717.32568586926</v>
      </c>
      <c r="BH52" s="18">
        <f t="shared" si="145"/>
        <v>85086.930274347716</v>
      </c>
      <c r="BI52" s="18">
        <f t="shared" si="141"/>
        <v>297804.25596021698</v>
      </c>
      <c r="BK52" s="18" t="s">
        <v>5</v>
      </c>
      <c r="BL52" s="17">
        <v>6</v>
      </c>
      <c r="BM52" s="18">
        <f t="shared" si="146"/>
        <v>0</v>
      </c>
      <c r="BN52" s="18">
        <f t="shared" si="147"/>
        <v>0</v>
      </c>
      <c r="BO52" s="18">
        <f t="shared" si="148"/>
        <v>0</v>
      </c>
      <c r="BP52" s="18">
        <f t="shared" si="149"/>
        <v>0</v>
      </c>
      <c r="BQ52" s="18">
        <f t="shared" si="150"/>
        <v>0</v>
      </c>
      <c r="BR52" s="18">
        <f t="shared" si="151"/>
        <v>0</v>
      </c>
      <c r="BS52" s="18">
        <f t="shared" si="152"/>
        <v>0</v>
      </c>
      <c r="BT52" s="18">
        <f t="shared" si="153"/>
        <v>0</v>
      </c>
      <c r="BU52" s="18">
        <f t="shared" si="154"/>
        <v>0</v>
      </c>
      <c r="BV52" s="18">
        <f t="shared" si="155"/>
        <v>0</v>
      </c>
      <c r="BW52" s="18">
        <f t="shared" si="156"/>
        <v>0</v>
      </c>
      <c r="BX52" s="18">
        <f t="shared" si="157"/>
        <v>0</v>
      </c>
      <c r="BY52" s="18">
        <f t="shared" si="158"/>
        <v>0</v>
      </c>
      <c r="BZ52" s="18">
        <f t="shared" si="159"/>
        <v>0</v>
      </c>
      <c r="CA52" s="18">
        <f t="shared" si="160"/>
        <v>0</v>
      </c>
      <c r="CB52" s="18">
        <f t="shared" si="161"/>
        <v>0</v>
      </c>
      <c r="CC52" s="18">
        <f t="shared" si="162"/>
        <v>0</v>
      </c>
      <c r="CD52" s="18">
        <f t="shared" si="163"/>
        <v>0</v>
      </c>
      <c r="CE52" s="18">
        <f t="shared" si="164"/>
        <v>0</v>
      </c>
      <c r="CF52" s="18">
        <f t="shared" si="165"/>
        <v>0</v>
      </c>
      <c r="CG52" s="18">
        <f t="shared" si="166"/>
        <v>0</v>
      </c>
      <c r="CH52" s="18">
        <f t="shared" si="167"/>
        <v>0</v>
      </c>
      <c r="CI52" s="18">
        <f t="shared" si="168"/>
        <v>0</v>
      </c>
      <c r="CJ52" s="18">
        <f t="shared" si="169"/>
        <v>0</v>
      </c>
      <c r="CK52" s="18">
        <v>30</v>
      </c>
      <c r="CL52" s="18">
        <f t="shared" si="170"/>
        <v>0</v>
      </c>
      <c r="CM52" s="18">
        <f t="shared" si="171"/>
        <v>0</v>
      </c>
      <c r="CN52" s="18">
        <f t="shared" si="143"/>
        <v>0</v>
      </c>
    </row>
    <row r="53" spans="1:94" x14ac:dyDescent="0.25">
      <c r="A53" s="18" t="s">
        <v>6</v>
      </c>
      <c r="B53" s="17">
        <v>7</v>
      </c>
      <c r="C53" s="22">
        <v>0</v>
      </c>
      <c r="D53" s="22">
        <v>0</v>
      </c>
      <c r="E53" s="22">
        <v>0</v>
      </c>
      <c r="F53" s="22">
        <v>0</v>
      </c>
      <c r="G53" s="22">
        <v>0</v>
      </c>
      <c r="H53" s="22">
        <v>0</v>
      </c>
      <c r="I53" s="22">
        <v>0</v>
      </c>
      <c r="J53" s="22">
        <v>0</v>
      </c>
      <c r="K53" s="22">
        <v>1.7696861538461534E-2</v>
      </c>
      <c r="L53" s="22">
        <v>0.13820406153846151</v>
      </c>
      <c r="M53" s="22">
        <v>0.28314978461538454</v>
      </c>
      <c r="N53" s="22">
        <v>0.38596012307692329</v>
      </c>
      <c r="O53" s="22">
        <v>0.42809550769230786</v>
      </c>
      <c r="P53" s="22">
        <v>0.41882572307692295</v>
      </c>
      <c r="Q53" s="22">
        <v>0.37753304615384647</v>
      </c>
      <c r="R53" s="22">
        <v>0.28230707692307688</v>
      </c>
      <c r="S53" s="22">
        <v>0.17781132307692299</v>
      </c>
      <c r="T53" s="22">
        <v>3.0337476923076912E-2</v>
      </c>
      <c r="U53" s="22">
        <v>8.4270769230769191E-4</v>
      </c>
      <c r="V53" s="22">
        <v>0</v>
      </c>
      <c r="W53" s="22">
        <v>0</v>
      </c>
      <c r="X53" s="22">
        <v>0</v>
      </c>
      <c r="Y53" s="22">
        <v>0</v>
      </c>
      <c r="Z53" s="22">
        <v>0</v>
      </c>
      <c r="AA53" s="22">
        <f>HLOOKUP('Summary Sheet'!$B$12,Working!$N$64:$X$76,Working!B53+1,0)</f>
        <v>1</v>
      </c>
      <c r="AF53" s="18" t="s">
        <v>6</v>
      </c>
      <c r="AG53" s="17">
        <v>7</v>
      </c>
      <c r="AH53" s="18">
        <f t="shared" si="117"/>
        <v>0</v>
      </c>
      <c r="AI53" s="18">
        <f t="shared" si="118"/>
        <v>0</v>
      </c>
      <c r="AJ53" s="18">
        <f t="shared" si="119"/>
        <v>0</v>
      </c>
      <c r="AK53" s="18">
        <f t="shared" si="120"/>
        <v>0</v>
      </c>
      <c r="AL53" s="18">
        <f t="shared" si="121"/>
        <v>0</v>
      </c>
      <c r="AM53" s="18">
        <f t="shared" si="122"/>
        <v>0</v>
      </c>
      <c r="AN53" s="18">
        <f t="shared" si="123"/>
        <v>0</v>
      </c>
      <c r="AO53" s="18">
        <f t="shared" si="124"/>
        <v>0</v>
      </c>
      <c r="AP53" s="18">
        <f t="shared" si="125"/>
        <v>0</v>
      </c>
      <c r="AQ53" s="18">
        <f t="shared" si="126"/>
        <v>73.709653939774512</v>
      </c>
      <c r="AR53" s="18">
        <f t="shared" si="127"/>
        <v>1195.298885175569</v>
      </c>
      <c r="AS53" s="18">
        <f t="shared" si="128"/>
        <v>2020.5753764077035</v>
      </c>
      <c r="AT53" s="18">
        <f t="shared" si="129"/>
        <v>2365.9706021598204</v>
      </c>
      <c r="AU53" s="18">
        <f t="shared" si="130"/>
        <v>2306.7923034466307</v>
      </c>
      <c r="AV53" s="18">
        <f t="shared" si="131"/>
        <v>1998.8771645386398</v>
      </c>
      <c r="AW53" s="18">
        <f t="shared" si="132"/>
        <v>1251.8201891119174</v>
      </c>
      <c r="AX53" s="18">
        <f t="shared" si="133"/>
        <v>396.78065824119278</v>
      </c>
      <c r="AY53" s="18">
        <f t="shared" si="134"/>
        <v>0</v>
      </c>
      <c r="AZ53" s="18">
        <f t="shared" si="135"/>
        <v>0</v>
      </c>
      <c r="BA53" s="18">
        <f t="shared" si="136"/>
        <v>0</v>
      </c>
      <c r="BB53" s="18">
        <f t="shared" si="137"/>
        <v>0</v>
      </c>
      <c r="BC53" s="18">
        <f t="shared" si="138"/>
        <v>0</v>
      </c>
      <c r="BD53" s="18">
        <f t="shared" si="139"/>
        <v>0</v>
      </c>
      <c r="BE53" s="18">
        <f t="shared" si="140"/>
        <v>0</v>
      </c>
      <c r="BF53" s="18">
        <v>31</v>
      </c>
      <c r="BG53" s="18">
        <f t="shared" si="144"/>
        <v>257074.69273118474</v>
      </c>
      <c r="BH53" s="18">
        <f t="shared" si="145"/>
        <v>102829.87709247394</v>
      </c>
      <c r="BI53" s="18">
        <f t="shared" si="141"/>
        <v>359904.56982365868</v>
      </c>
      <c r="BK53" s="18" t="s">
        <v>6</v>
      </c>
      <c r="BL53" s="17">
        <v>7</v>
      </c>
      <c r="BM53" s="18">
        <f t="shared" si="146"/>
        <v>0</v>
      </c>
      <c r="BN53" s="18">
        <f t="shared" si="147"/>
        <v>0</v>
      </c>
      <c r="BO53" s="18">
        <f t="shared" si="148"/>
        <v>0</v>
      </c>
      <c r="BP53" s="18">
        <f t="shared" si="149"/>
        <v>0</v>
      </c>
      <c r="BQ53" s="18">
        <f t="shared" si="150"/>
        <v>0</v>
      </c>
      <c r="BR53" s="18">
        <f t="shared" si="151"/>
        <v>0</v>
      </c>
      <c r="BS53" s="18">
        <f t="shared" si="152"/>
        <v>0</v>
      </c>
      <c r="BT53" s="18">
        <f t="shared" si="153"/>
        <v>0</v>
      </c>
      <c r="BU53" s="18">
        <f t="shared" si="154"/>
        <v>0</v>
      </c>
      <c r="BV53" s="18">
        <f t="shared" si="155"/>
        <v>0</v>
      </c>
      <c r="BW53" s="18">
        <f t="shared" si="156"/>
        <v>0</v>
      </c>
      <c r="BX53" s="18">
        <f t="shared" si="157"/>
        <v>0</v>
      </c>
      <c r="BY53" s="18">
        <f t="shared" si="158"/>
        <v>0</v>
      </c>
      <c r="BZ53" s="18">
        <f t="shared" si="159"/>
        <v>0</v>
      </c>
      <c r="CA53" s="18">
        <f t="shared" si="160"/>
        <v>0</v>
      </c>
      <c r="CB53" s="18">
        <f t="shared" si="161"/>
        <v>0</v>
      </c>
      <c r="CC53" s="18">
        <f t="shared" si="162"/>
        <v>0</v>
      </c>
      <c r="CD53" s="18">
        <f t="shared" si="163"/>
        <v>0</v>
      </c>
      <c r="CE53" s="18">
        <f t="shared" si="164"/>
        <v>0</v>
      </c>
      <c r="CF53" s="18">
        <f t="shared" si="165"/>
        <v>0</v>
      </c>
      <c r="CG53" s="18">
        <f t="shared" si="166"/>
        <v>0</v>
      </c>
      <c r="CH53" s="18">
        <f t="shared" si="167"/>
        <v>0</v>
      </c>
      <c r="CI53" s="18">
        <f t="shared" si="168"/>
        <v>0</v>
      </c>
      <c r="CJ53" s="18">
        <f t="shared" si="169"/>
        <v>0</v>
      </c>
      <c r="CK53" s="18">
        <v>31</v>
      </c>
      <c r="CL53" s="18">
        <f t="shared" si="170"/>
        <v>0</v>
      </c>
      <c r="CM53" s="18">
        <f t="shared" si="171"/>
        <v>0</v>
      </c>
      <c r="CN53" s="18">
        <f t="shared" si="143"/>
        <v>0</v>
      </c>
    </row>
    <row r="54" spans="1:94" x14ac:dyDescent="0.25">
      <c r="A54" s="18" t="s">
        <v>7</v>
      </c>
      <c r="B54" s="17">
        <v>8</v>
      </c>
      <c r="C54" s="22">
        <v>0</v>
      </c>
      <c r="D54" s="22">
        <v>0</v>
      </c>
      <c r="E54" s="22">
        <v>0</v>
      </c>
      <c r="F54" s="22">
        <v>0</v>
      </c>
      <c r="G54" s="22">
        <v>0</v>
      </c>
      <c r="H54" s="22">
        <v>0</v>
      </c>
      <c r="I54" s="22">
        <v>0</v>
      </c>
      <c r="J54" s="22">
        <v>3.3708307692307676E-3</v>
      </c>
      <c r="K54" s="22">
        <v>5.0562461538461508E-2</v>
      </c>
      <c r="L54" s="22">
        <v>0.21994670769230787</v>
      </c>
      <c r="M54" s="22">
        <v>0.35309452307692302</v>
      </c>
      <c r="N54" s="22">
        <v>0.43905070769230792</v>
      </c>
      <c r="O54" s="22">
        <v>0.47360172307692311</v>
      </c>
      <c r="P54" s="22">
        <v>0.4710735999999997</v>
      </c>
      <c r="Q54" s="22">
        <v>0.42388196923076921</v>
      </c>
      <c r="R54" s="22">
        <v>0.34213932307692296</v>
      </c>
      <c r="S54" s="22">
        <v>0.22247483076923069</v>
      </c>
      <c r="T54" s="22">
        <v>6.5731199999999948E-2</v>
      </c>
      <c r="U54" s="22">
        <v>5.8989538461538512E-3</v>
      </c>
      <c r="V54" s="22">
        <v>0</v>
      </c>
      <c r="W54" s="22">
        <v>0</v>
      </c>
      <c r="X54" s="22">
        <v>0</v>
      </c>
      <c r="Y54" s="22">
        <v>0</v>
      </c>
      <c r="Z54" s="22">
        <v>0</v>
      </c>
      <c r="AA54" s="22">
        <f>HLOOKUP('Summary Sheet'!$B$12,Working!$N$64:$X$76,Working!B54+1,0)</f>
        <v>1</v>
      </c>
      <c r="AF54" s="18" t="s">
        <v>7</v>
      </c>
      <c r="AG54" s="17">
        <v>8</v>
      </c>
      <c r="AH54" s="18">
        <f t="shared" si="117"/>
        <v>0</v>
      </c>
      <c r="AI54" s="18">
        <f t="shared" si="118"/>
        <v>0</v>
      </c>
      <c r="AJ54" s="18">
        <f t="shared" si="119"/>
        <v>0</v>
      </c>
      <c r="AK54" s="18">
        <f t="shared" si="120"/>
        <v>0</v>
      </c>
      <c r="AL54" s="18">
        <f t="shared" si="121"/>
        <v>0</v>
      </c>
      <c r="AM54" s="18">
        <f t="shared" si="122"/>
        <v>0</v>
      </c>
      <c r="AN54" s="18">
        <f t="shared" si="123"/>
        <v>0</v>
      </c>
      <c r="AO54" s="18">
        <f t="shared" si="124"/>
        <v>0</v>
      </c>
      <c r="AP54" s="18">
        <f t="shared" si="125"/>
        <v>0</v>
      </c>
      <c r="AQ54" s="18">
        <f t="shared" si="126"/>
        <v>726.07329112549337</v>
      </c>
      <c r="AR54" s="18">
        <f t="shared" si="127"/>
        <v>1752.7522263466103</v>
      </c>
      <c r="AS54" s="18">
        <f t="shared" si="128"/>
        <v>2444.1674341651988</v>
      </c>
      <c r="AT54" s="18">
        <f t="shared" si="129"/>
        <v>2730.3426108541807</v>
      </c>
      <c r="AU54" s="18">
        <f t="shared" si="130"/>
        <v>2722.9501574835613</v>
      </c>
      <c r="AV54" s="18">
        <f t="shared" si="131"/>
        <v>2360.697300435354</v>
      </c>
      <c r="AW54" s="18">
        <f t="shared" si="132"/>
        <v>1736.6698016839591</v>
      </c>
      <c r="AX54" s="18">
        <f t="shared" si="133"/>
        <v>770.81208053512989</v>
      </c>
      <c r="AY54" s="18">
        <f t="shared" si="134"/>
        <v>0</v>
      </c>
      <c r="AZ54" s="18">
        <f t="shared" si="135"/>
        <v>0</v>
      </c>
      <c r="BA54" s="18">
        <f t="shared" si="136"/>
        <v>0</v>
      </c>
      <c r="BB54" s="18">
        <f t="shared" si="137"/>
        <v>0</v>
      </c>
      <c r="BC54" s="18">
        <f t="shared" si="138"/>
        <v>0</v>
      </c>
      <c r="BD54" s="18">
        <f t="shared" si="139"/>
        <v>0</v>
      </c>
      <c r="BE54" s="18">
        <f t="shared" si="140"/>
        <v>0</v>
      </c>
      <c r="BF54" s="18">
        <v>31</v>
      </c>
      <c r="BG54" s="18">
        <f t="shared" si="144"/>
        <v>337556.0085582243</v>
      </c>
      <c r="BH54" s="18">
        <f t="shared" si="145"/>
        <v>135022.40342328971</v>
      </c>
      <c r="BI54" s="18">
        <f t="shared" si="141"/>
        <v>472578.41198151401</v>
      </c>
      <c r="BK54" s="18" t="s">
        <v>7</v>
      </c>
      <c r="BL54" s="17">
        <v>8</v>
      </c>
      <c r="BM54" s="18">
        <f t="shared" si="146"/>
        <v>0</v>
      </c>
      <c r="BN54" s="18">
        <f t="shared" si="147"/>
        <v>0</v>
      </c>
      <c r="BO54" s="18">
        <f t="shared" si="148"/>
        <v>0</v>
      </c>
      <c r="BP54" s="18">
        <f t="shared" si="149"/>
        <v>0</v>
      </c>
      <c r="BQ54" s="18">
        <f t="shared" si="150"/>
        <v>0</v>
      </c>
      <c r="BR54" s="18">
        <f t="shared" si="151"/>
        <v>0</v>
      </c>
      <c r="BS54" s="18">
        <f t="shared" si="152"/>
        <v>0</v>
      </c>
      <c r="BT54" s="18">
        <f t="shared" si="153"/>
        <v>0</v>
      </c>
      <c r="BU54" s="18">
        <f t="shared" si="154"/>
        <v>0</v>
      </c>
      <c r="BV54" s="18">
        <f t="shared" si="155"/>
        <v>0</v>
      </c>
      <c r="BW54" s="18">
        <f t="shared" si="156"/>
        <v>0</v>
      </c>
      <c r="BX54" s="18">
        <f t="shared" si="157"/>
        <v>0</v>
      </c>
      <c r="BY54" s="18">
        <f t="shared" si="158"/>
        <v>0</v>
      </c>
      <c r="BZ54" s="18">
        <f t="shared" si="159"/>
        <v>0</v>
      </c>
      <c r="CA54" s="18">
        <f t="shared" si="160"/>
        <v>0</v>
      </c>
      <c r="CB54" s="18">
        <f t="shared" si="161"/>
        <v>0</v>
      </c>
      <c r="CC54" s="18">
        <f t="shared" si="162"/>
        <v>0</v>
      </c>
      <c r="CD54" s="18">
        <f t="shared" si="163"/>
        <v>0</v>
      </c>
      <c r="CE54" s="18">
        <f t="shared" si="164"/>
        <v>0</v>
      </c>
      <c r="CF54" s="18">
        <f t="shared" si="165"/>
        <v>0</v>
      </c>
      <c r="CG54" s="18">
        <f t="shared" si="166"/>
        <v>0</v>
      </c>
      <c r="CH54" s="18">
        <f t="shared" si="167"/>
        <v>0</v>
      </c>
      <c r="CI54" s="18">
        <f t="shared" si="168"/>
        <v>0</v>
      </c>
      <c r="CJ54" s="18">
        <f t="shared" si="169"/>
        <v>0</v>
      </c>
      <c r="CK54" s="18">
        <v>31</v>
      </c>
      <c r="CL54" s="18">
        <f t="shared" si="170"/>
        <v>0</v>
      </c>
      <c r="CM54" s="18">
        <f t="shared" si="171"/>
        <v>0</v>
      </c>
      <c r="CN54" s="18">
        <f t="shared" si="143"/>
        <v>0</v>
      </c>
    </row>
    <row r="55" spans="1:94" x14ac:dyDescent="0.25">
      <c r="A55" s="18" t="s">
        <v>8</v>
      </c>
      <c r="B55" s="17">
        <v>9</v>
      </c>
      <c r="C55" s="22">
        <v>0</v>
      </c>
      <c r="D55" s="22">
        <v>0</v>
      </c>
      <c r="E55" s="22">
        <v>0</v>
      </c>
      <c r="F55" s="22">
        <v>0</v>
      </c>
      <c r="G55" s="22">
        <v>0</v>
      </c>
      <c r="H55" s="22">
        <v>0</v>
      </c>
      <c r="I55" s="22">
        <v>8.4270769230769202E-4</v>
      </c>
      <c r="J55" s="22">
        <v>2.3595815384615401E-2</v>
      </c>
      <c r="K55" s="22">
        <v>0.15590092307692308</v>
      </c>
      <c r="L55" s="22">
        <v>0.29579039999999984</v>
      </c>
      <c r="M55" s="22">
        <v>0.41208406153846172</v>
      </c>
      <c r="N55" s="22">
        <v>0.49214129230769255</v>
      </c>
      <c r="O55" s="22">
        <v>0.54186104615384612</v>
      </c>
      <c r="P55" s="22">
        <v>0.54354646153846153</v>
      </c>
      <c r="Q55" s="22">
        <v>0.49551212307692338</v>
      </c>
      <c r="R55" s="22">
        <v>0.40618510769230765</v>
      </c>
      <c r="S55" s="22">
        <v>0.28483520000000007</v>
      </c>
      <c r="T55" s="22">
        <v>0.1483165538461538</v>
      </c>
      <c r="U55" s="22">
        <v>1.8539569230769225E-2</v>
      </c>
      <c r="V55" s="22">
        <v>0</v>
      </c>
      <c r="W55" s="22">
        <v>0</v>
      </c>
      <c r="X55" s="22">
        <v>0</v>
      </c>
      <c r="Y55" s="22">
        <v>0</v>
      </c>
      <c r="Z55" s="22">
        <v>0</v>
      </c>
      <c r="AA55" s="22">
        <f>HLOOKUP('Summary Sheet'!$B$12,Working!$N$64:$X$76,Working!B55+1,0)</f>
        <v>1</v>
      </c>
      <c r="AF55" s="18" t="s">
        <v>8</v>
      </c>
      <c r="AG55" s="17">
        <v>9</v>
      </c>
      <c r="AH55" s="18">
        <f t="shared" si="117"/>
        <v>0</v>
      </c>
      <c r="AI55" s="18">
        <f t="shared" si="118"/>
        <v>0</v>
      </c>
      <c r="AJ55" s="18">
        <f t="shared" si="119"/>
        <v>0</v>
      </c>
      <c r="AK55" s="18">
        <f t="shared" si="120"/>
        <v>0</v>
      </c>
      <c r="AL55" s="18">
        <f t="shared" si="121"/>
        <v>0</v>
      </c>
      <c r="AM55" s="18">
        <f t="shared" si="122"/>
        <v>0</v>
      </c>
      <c r="AN55" s="18">
        <f t="shared" si="123"/>
        <v>0</v>
      </c>
      <c r="AO55" s="18">
        <f t="shared" si="124"/>
        <v>0</v>
      </c>
      <c r="AP55" s="18">
        <f t="shared" si="125"/>
        <v>364.0315952117196</v>
      </c>
      <c r="AQ55" s="18">
        <f t="shared" si="126"/>
        <v>1401.0313990890895</v>
      </c>
      <c r="AR55" s="18">
        <f t="shared" si="127"/>
        <v>2293.7575113056701</v>
      </c>
      <c r="AS55" s="18">
        <f t="shared" si="128"/>
        <v>2933.857283477535</v>
      </c>
      <c r="AT55" s="18">
        <f t="shared" si="129"/>
        <v>3324.2683034708252</v>
      </c>
      <c r="AU55" s="18">
        <f t="shared" si="130"/>
        <v>3345.036775486059</v>
      </c>
      <c r="AV55" s="18">
        <f t="shared" si="131"/>
        <v>2980.697845504922</v>
      </c>
      <c r="AW55" s="18">
        <f t="shared" si="132"/>
        <v>2283.0749514747413</v>
      </c>
      <c r="AX55" s="18">
        <f t="shared" si="133"/>
        <v>1333.7695040582919</v>
      </c>
      <c r="AY55" s="18">
        <f t="shared" si="134"/>
        <v>266.84439806391731</v>
      </c>
      <c r="AZ55" s="18">
        <f t="shared" si="135"/>
        <v>0</v>
      </c>
      <c r="BA55" s="18">
        <f t="shared" si="136"/>
        <v>0</v>
      </c>
      <c r="BB55" s="18">
        <f t="shared" si="137"/>
        <v>0</v>
      </c>
      <c r="BC55" s="18">
        <f t="shared" si="138"/>
        <v>0</v>
      </c>
      <c r="BD55" s="18">
        <f t="shared" si="139"/>
        <v>0</v>
      </c>
      <c r="BE55" s="18">
        <f t="shared" si="140"/>
        <v>0</v>
      </c>
      <c r="BF55" s="18">
        <v>30</v>
      </c>
      <c r="BG55" s="18">
        <f t="shared" si="144"/>
        <v>439850.77643877361</v>
      </c>
      <c r="BH55" s="18">
        <f t="shared" si="145"/>
        <v>175940.31057550944</v>
      </c>
      <c r="BI55" s="18">
        <f t="shared" si="141"/>
        <v>615791.08701428305</v>
      </c>
      <c r="BK55" s="18" t="s">
        <v>8</v>
      </c>
      <c r="BL55" s="17">
        <v>9</v>
      </c>
      <c r="BM55" s="18">
        <f t="shared" si="146"/>
        <v>0</v>
      </c>
      <c r="BN55" s="18">
        <f t="shared" si="147"/>
        <v>0</v>
      </c>
      <c r="BO55" s="18">
        <f t="shared" si="148"/>
        <v>0</v>
      </c>
      <c r="BP55" s="18">
        <f t="shared" si="149"/>
        <v>0</v>
      </c>
      <c r="BQ55" s="18">
        <f t="shared" si="150"/>
        <v>0</v>
      </c>
      <c r="BR55" s="18">
        <f t="shared" si="151"/>
        <v>0</v>
      </c>
      <c r="BS55" s="18">
        <f t="shared" si="152"/>
        <v>0</v>
      </c>
      <c r="BT55" s="18">
        <f t="shared" si="153"/>
        <v>0</v>
      </c>
      <c r="BU55" s="18">
        <f t="shared" si="154"/>
        <v>0</v>
      </c>
      <c r="BV55" s="18">
        <f t="shared" si="155"/>
        <v>0</v>
      </c>
      <c r="BW55" s="18">
        <f t="shared" si="156"/>
        <v>0</v>
      </c>
      <c r="BX55" s="18">
        <f t="shared" si="157"/>
        <v>0</v>
      </c>
      <c r="BY55" s="18">
        <f t="shared" si="158"/>
        <v>0</v>
      </c>
      <c r="BZ55" s="18">
        <f t="shared" si="159"/>
        <v>0</v>
      </c>
      <c r="CA55" s="18">
        <f t="shared" si="160"/>
        <v>0</v>
      </c>
      <c r="CB55" s="18">
        <f t="shared" si="161"/>
        <v>0</v>
      </c>
      <c r="CC55" s="18">
        <f t="shared" si="162"/>
        <v>0</v>
      </c>
      <c r="CD55" s="18">
        <f t="shared" si="163"/>
        <v>0</v>
      </c>
      <c r="CE55" s="18">
        <f t="shared" si="164"/>
        <v>0</v>
      </c>
      <c r="CF55" s="18">
        <f t="shared" si="165"/>
        <v>0</v>
      </c>
      <c r="CG55" s="18">
        <f t="shared" si="166"/>
        <v>0</v>
      </c>
      <c r="CH55" s="18">
        <f t="shared" si="167"/>
        <v>0</v>
      </c>
      <c r="CI55" s="18">
        <f t="shared" si="168"/>
        <v>0</v>
      </c>
      <c r="CJ55" s="18">
        <f t="shared" si="169"/>
        <v>0</v>
      </c>
      <c r="CK55" s="18">
        <v>30</v>
      </c>
      <c r="CL55" s="18">
        <f t="shared" si="170"/>
        <v>0</v>
      </c>
      <c r="CM55" s="18">
        <f t="shared" si="171"/>
        <v>0</v>
      </c>
      <c r="CN55" s="18">
        <f t="shared" si="143"/>
        <v>0</v>
      </c>
    </row>
    <row r="56" spans="1:94" x14ac:dyDescent="0.25">
      <c r="A56" s="18" t="s">
        <v>9</v>
      </c>
      <c r="B56" s="17">
        <v>10</v>
      </c>
      <c r="C56" s="22">
        <v>0</v>
      </c>
      <c r="D56" s="22">
        <v>0</v>
      </c>
      <c r="E56" s="22">
        <v>0</v>
      </c>
      <c r="F56" s="22">
        <v>0</v>
      </c>
      <c r="G56" s="22">
        <v>0</v>
      </c>
      <c r="H56" s="22">
        <v>0</v>
      </c>
      <c r="I56" s="22">
        <v>1.0112492307692312E-2</v>
      </c>
      <c r="J56" s="22">
        <v>8.6798892307692374E-2</v>
      </c>
      <c r="K56" s="22">
        <v>0.22500295384615385</v>
      </c>
      <c r="L56" s="22">
        <v>0.36152160000000005</v>
      </c>
      <c r="M56" s="22">
        <v>0.47528713846153836</v>
      </c>
      <c r="N56" s="22">
        <v>0.56798498461538471</v>
      </c>
      <c r="O56" s="22">
        <v>0.60927766153846186</v>
      </c>
      <c r="P56" s="22">
        <v>0.6050641230769227</v>
      </c>
      <c r="Q56" s="22">
        <v>0.55365895384615382</v>
      </c>
      <c r="R56" s="22">
        <v>0.45253403076923104</v>
      </c>
      <c r="S56" s="22">
        <v>0.32444246153846146</v>
      </c>
      <c r="T56" s="22">
        <v>0.18455298461538455</v>
      </c>
      <c r="U56" s="22">
        <v>4.1292676923076921E-2</v>
      </c>
      <c r="V56" s="22">
        <v>4.2135384615384604E-3</v>
      </c>
      <c r="W56" s="22">
        <v>0</v>
      </c>
      <c r="X56" s="22">
        <v>0</v>
      </c>
      <c r="Y56" s="22">
        <v>0</v>
      </c>
      <c r="Z56" s="22">
        <v>0</v>
      </c>
      <c r="AA56" s="22">
        <f>HLOOKUP('Summary Sheet'!$B$12,Working!$N$64:$X$76,Working!B56+1,0)</f>
        <v>1</v>
      </c>
      <c r="AF56" s="18" t="s">
        <v>9</v>
      </c>
      <c r="AG56" s="17">
        <v>10</v>
      </c>
      <c r="AH56" s="18">
        <f t="shared" si="117"/>
        <v>0</v>
      </c>
      <c r="AI56" s="18">
        <f t="shared" si="118"/>
        <v>0</v>
      </c>
      <c r="AJ56" s="18">
        <f t="shared" si="119"/>
        <v>0</v>
      </c>
      <c r="AK56" s="18">
        <f t="shared" si="120"/>
        <v>0</v>
      </c>
      <c r="AL56" s="18">
        <f t="shared" si="121"/>
        <v>0</v>
      </c>
      <c r="AM56" s="18">
        <f t="shared" si="122"/>
        <v>0</v>
      </c>
      <c r="AN56" s="18">
        <f t="shared" si="123"/>
        <v>0</v>
      </c>
      <c r="AO56" s="18">
        <f t="shared" si="124"/>
        <v>0</v>
      </c>
      <c r="AP56" s="18">
        <f t="shared" si="125"/>
        <v>841.97125095762567</v>
      </c>
      <c r="AQ56" s="18">
        <f t="shared" si="126"/>
        <v>1882.4914565360596</v>
      </c>
      <c r="AR56" s="18">
        <f t="shared" si="127"/>
        <v>2775.5000672357564</v>
      </c>
      <c r="AS56" s="18">
        <f t="shared" si="128"/>
        <v>3501.1804869894399</v>
      </c>
      <c r="AT56" s="18">
        <f t="shared" si="129"/>
        <v>3820.0205173314853</v>
      </c>
      <c r="AU56" s="18">
        <f t="shared" si="130"/>
        <v>3788.6433100601071</v>
      </c>
      <c r="AV56" s="18">
        <f t="shared" si="131"/>
        <v>3403.9814257796052</v>
      </c>
      <c r="AW56" s="18">
        <f t="shared" si="132"/>
        <v>2631.8889438213359</v>
      </c>
      <c r="AX56" s="18">
        <f t="shared" si="133"/>
        <v>1661.0786047352508</v>
      </c>
      <c r="AY56" s="18">
        <f t="shared" si="134"/>
        <v>521.06893076375252</v>
      </c>
      <c r="AZ56" s="18">
        <f t="shared" si="135"/>
        <v>0</v>
      </c>
      <c r="BA56" s="18">
        <f t="shared" si="136"/>
        <v>0</v>
      </c>
      <c r="BB56" s="18">
        <f t="shared" si="137"/>
        <v>0</v>
      </c>
      <c r="BC56" s="18">
        <f t="shared" si="138"/>
        <v>0</v>
      </c>
      <c r="BD56" s="18">
        <f t="shared" si="139"/>
        <v>0</v>
      </c>
      <c r="BE56" s="18">
        <f t="shared" si="140"/>
        <v>0</v>
      </c>
      <c r="BF56" s="18">
        <v>31</v>
      </c>
      <c r="BG56" s="18">
        <f t="shared" si="144"/>
        <v>549758.98201465933</v>
      </c>
      <c r="BH56" s="18">
        <f t="shared" si="145"/>
        <v>219903.59280586371</v>
      </c>
      <c r="BI56" s="18">
        <f t="shared" si="141"/>
        <v>769662.57482052303</v>
      </c>
      <c r="BK56" s="18" t="s">
        <v>9</v>
      </c>
      <c r="BL56" s="17">
        <v>10</v>
      </c>
      <c r="BM56" s="18">
        <f t="shared" si="146"/>
        <v>0</v>
      </c>
      <c r="BN56" s="18">
        <f t="shared" si="147"/>
        <v>0</v>
      </c>
      <c r="BO56" s="18">
        <f t="shared" si="148"/>
        <v>0</v>
      </c>
      <c r="BP56" s="18">
        <f t="shared" si="149"/>
        <v>0</v>
      </c>
      <c r="BQ56" s="18">
        <f t="shared" si="150"/>
        <v>0</v>
      </c>
      <c r="BR56" s="18">
        <f t="shared" si="151"/>
        <v>0</v>
      </c>
      <c r="BS56" s="18">
        <f t="shared" si="152"/>
        <v>0</v>
      </c>
      <c r="BT56" s="18">
        <f t="shared" si="153"/>
        <v>0</v>
      </c>
      <c r="BU56" s="18">
        <f t="shared" si="154"/>
        <v>0</v>
      </c>
      <c r="BV56" s="18">
        <f t="shared" si="155"/>
        <v>0</v>
      </c>
      <c r="BW56" s="18">
        <f t="shared" si="156"/>
        <v>0</v>
      </c>
      <c r="BX56" s="18">
        <f t="shared" si="157"/>
        <v>0</v>
      </c>
      <c r="BY56" s="18">
        <f t="shared" si="158"/>
        <v>0</v>
      </c>
      <c r="BZ56" s="18">
        <f t="shared" si="159"/>
        <v>0</v>
      </c>
      <c r="CA56" s="18">
        <f t="shared" si="160"/>
        <v>0</v>
      </c>
      <c r="CB56" s="18">
        <f t="shared" si="161"/>
        <v>0</v>
      </c>
      <c r="CC56" s="18">
        <f t="shared" si="162"/>
        <v>0</v>
      </c>
      <c r="CD56" s="18">
        <f t="shared" si="163"/>
        <v>0</v>
      </c>
      <c r="CE56" s="18">
        <f t="shared" si="164"/>
        <v>0</v>
      </c>
      <c r="CF56" s="18">
        <f t="shared" si="165"/>
        <v>0</v>
      </c>
      <c r="CG56" s="18">
        <f t="shared" si="166"/>
        <v>0</v>
      </c>
      <c r="CH56" s="18">
        <f t="shared" si="167"/>
        <v>0</v>
      </c>
      <c r="CI56" s="18">
        <f t="shared" si="168"/>
        <v>0</v>
      </c>
      <c r="CJ56" s="18">
        <f t="shared" si="169"/>
        <v>0</v>
      </c>
      <c r="CK56" s="18">
        <v>31</v>
      </c>
      <c r="CL56" s="18">
        <f t="shared" si="170"/>
        <v>0</v>
      </c>
      <c r="CM56" s="18">
        <f t="shared" si="171"/>
        <v>0</v>
      </c>
      <c r="CN56" s="18">
        <f t="shared" si="143"/>
        <v>0</v>
      </c>
    </row>
    <row r="57" spans="1:94" x14ac:dyDescent="0.25">
      <c r="A57" s="18" t="s">
        <v>10</v>
      </c>
      <c r="B57" s="17">
        <v>11</v>
      </c>
      <c r="C57" s="22">
        <v>0</v>
      </c>
      <c r="D57" s="22">
        <v>0</v>
      </c>
      <c r="E57" s="22">
        <v>0</v>
      </c>
      <c r="F57" s="22">
        <v>0</v>
      </c>
      <c r="G57" s="22">
        <v>0</v>
      </c>
      <c r="H57" s="22">
        <v>1.685415384615384E-3</v>
      </c>
      <c r="I57" s="22">
        <v>3.0337476923076912E-2</v>
      </c>
      <c r="J57" s="22">
        <v>0.11966449230769236</v>
      </c>
      <c r="K57" s="22">
        <v>0.24522793846153848</v>
      </c>
      <c r="L57" s="22">
        <v>0.3716340923076924</v>
      </c>
      <c r="M57" s="22">
        <v>0.4870850461538459</v>
      </c>
      <c r="N57" s="22">
        <v>0.59158079999999968</v>
      </c>
      <c r="O57" s="22">
        <v>0.65225575384615408</v>
      </c>
      <c r="P57" s="22">
        <v>0.65309846153846185</v>
      </c>
      <c r="Q57" s="22">
        <v>0.59158079999999968</v>
      </c>
      <c r="R57" s="22">
        <v>0.4870850461538459</v>
      </c>
      <c r="S57" s="22">
        <v>0.35899347692307709</v>
      </c>
      <c r="T57" s="22">
        <v>0.21320504615384631</v>
      </c>
      <c r="U57" s="22">
        <v>8.0899938461538479E-2</v>
      </c>
      <c r="V57" s="22">
        <v>1.4326030769230766E-2</v>
      </c>
      <c r="W57" s="22">
        <v>0</v>
      </c>
      <c r="X57" s="22">
        <v>0</v>
      </c>
      <c r="Y57" s="22">
        <v>0</v>
      </c>
      <c r="Z57" s="22">
        <v>0</v>
      </c>
      <c r="AA57" s="22">
        <f>HLOOKUP('Summary Sheet'!$B$12,Working!$N$64:$X$76,Working!B57+1,0)</f>
        <v>1</v>
      </c>
      <c r="AF57" s="18" t="s">
        <v>10</v>
      </c>
      <c r="AG57" s="17">
        <v>11</v>
      </c>
      <c r="AH57" s="18">
        <f t="shared" si="117"/>
        <v>0</v>
      </c>
      <c r="AI57" s="18">
        <f t="shared" si="118"/>
        <v>0</v>
      </c>
      <c r="AJ57" s="18">
        <f t="shared" si="119"/>
        <v>0</v>
      </c>
      <c r="AK57" s="18">
        <f t="shared" si="120"/>
        <v>0</v>
      </c>
      <c r="AL57" s="18">
        <f t="shared" si="121"/>
        <v>0</v>
      </c>
      <c r="AM57" s="18">
        <f t="shared" si="122"/>
        <v>0</v>
      </c>
      <c r="AN57" s="18">
        <f t="shared" si="123"/>
        <v>0</v>
      </c>
      <c r="AO57" s="18">
        <f t="shared" si="124"/>
        <v>101.47248194253211</v>
      </c>
      <c r="AP57" s="18">
        <f t="shared" si="125"/>
        <v>1008.4277888493851</v>
      </c>
      <c r="AQ57" s="18">
        <f t="shared" si="126"/>
        <v>1952.9750224502479</v>
      </c>
      <c r="AR57" s="18">
        <f t="shared" si="127"/>
        <v>2848.7224837627246</v>
      </c>
      <c r="AS57" s="18">
        <f t="shared" si="128"/>
        <v>3659.0869219226765</v>
      </c>
      <c r="AT57" s="18">
        <f t="shared" si="129"/>
        <v>4121.3675007089187</v>
      </c>
      <c r="AU57" s="18">
        <f t="shared" si="130"/>
        <v>4121.3983824926963</v>
      </c>
      <c r="AV57" s="18">
        <f t="shared" si="131"/>
        <v>3653.0545337096546</v>
      </c>
      <c r="AW57" s="18">
        <f t="shared" si="132"/>
        <v>2847.159120928377</v>
      </c>
      <c r="AX57" s="18">
        <f t="shared" si="133"/>
        <v>1895.0514558402947</v>
      </c>
      <c r="AY57" s="18">
        <f t="shared" si="134"/>
        <v>799.65183041105092</v>
      </c>
      <c r="AZ57" s="18">
        <f t="shared" si="135"/>
        <v>0</v>
      </c>
      <c r="BA57" s="18">
        <f t="shared" si="136"/>
        <v>0</v>
      </c>
      <c r="BB57" s="18">
        <f t="shared" si="137"/>
        <v>0</v>
      </c>
      <c r="BC57" s="18">
        <f t="shared" si="138"/>
        <v>0</v>
      </c>
      <c r="BD57" s="18">
        <f t="shared" si="139"/>
        <v>0</v>
      </c>
      <c r="BE57" s="18">
        <f t="shared" si="140"/>
        <v>0</v>
      </c>
      <c r="BF57" s="18">
        <v>30</v>
      </c>
      <c r="BG57" s="18">
        <f t="shared" si="144"/>
        <v>578750.7326361119</v>
      </c>
      <c r="BH57" s="18">
        <f t="shared" si="145"/>
        <v>231500.29305444483</v>
      </c>
      <c r="BI57" s="18">
        <f t="shared" si="141"/>
        <v>810251.02569055674</v>
      </c>
      <c r="BK57" s="18" t="s">
        <v>10</v>
      </c>
      <c r="BL57" s="17">
        <v>11</v>
      </c>
      <c r="BM57" s="18">
        <f t="shared" si="146"/>
        <v>0</v>
      </c>
      <c r="BN57" s="18">
        <f t="shared" si="147"/>
        <v>0</v>
      </c>
      <c r="BO57" s="18">
        <f t="shared" si="148"/>
        <v>0</v>
      </c>
      <c r="BP57" s="18">
        <f t="shared" si="149"/>
        <v>0</v>
      </c>
      <c r="BQ57" s="18">
        <f t="shared" si="150"/>
        <v>0</v>
      </c>
      <c r="BR57" s="18">
        <f t="shared" si="151"/>
        <v>0</v>
      </c>
      <c r="BS57" s="18">
        <f t="shared" si="152"/>
        <v>0</v>
      </c>
      <c r="BT57" s="18">
        <f t="shared" si="153"/>
        <v>0</v>
      </c>
      <c r="BU57" s="18">
        <f t="shared" si="154"/>
        <v>0</v>
      </c>
      <c r="BV57" s="18">
        <f t="shared" si="155"/>
        <v>0</v>
      </c>
      <c r="BW57" s="18">
        <f t="shared" si="156"/>
        <v>0</v>
      </c>
      <c r="BX57" s="18">
        <f t="shared" si="157"/>
        <v>0</v>
      </c>
      <c r="BY57" s="18">
        <f t="shared" si="158"/>
        <v>0</v>
      </c>
      <c r="BZ57" s="18">
        <f t="shared" si="159"/>
        <v>0</v>
      </c>
      <c r="CA57" s="18">
        <f t="shared" si="160"/>
        <v>0</v>
      </c>
      <c r="CB57" s="18">
        <f t="shared" si="161"/>
        <v>0</v>
      </c>
      <c r="CC57" s="18">
        <f t="shared" si="162"/>
        <v>0</v>
      </c>
      <c r="CD57" s="18">
        <f t="shared" si="163"/>
        <v>0</v>
      </c>
      <c r="CE57" s="18">
        <f t="shared" si="164"/>
        <v>0</v>
      </c>
      <c r="CF57" s="18">
        <f t="shared" si="165"/>
        <v>0</v>
      </c>
      <c r="CG57" s="18">
        <f t="shared" si="166"/>
        <v>0</v>
      </c>
      <c r="CH57" s="18">
        <f t="shared" si="167"/>
        <v>0</v>
      </c>
      <c r="CI57" s="18">
        <f t="shared" si="168"/>
        <v>0</v>
      </c>
      <c r="CJ57" s="18">
        <f t="shared" si="169"/>
        <v>0</v>
      </c>
      <c r="CK57" s="18">
        <v>30</v>
      </c>
      <c r="CL57" s="18">
        <f t="shared" si="170"/>
        <v>0</v>
      </c>
      <c r="CM57" s="18">
        <f t="shared" si="171"/>
        <v>0</v>
      </c>
      <c r="CN57" s="18">
        <f t="shared" si="143"/>
        <v>0</v>
      </c>
    </row>
    <row r="58" spans="1:94" x14ac:dyDescent="0.25">
      <c r="A58" s="18" t="s">
        <v>11</v>
      </c>
      <c r="B58" s="17">
        <v>12</v>
      </c>
      <c r="C58" s="22">
        <v>0</v>
      </c>
      <c r="D58" s="22">
        <v>0</v>
      </c>
      <c r="E58" s="22">
        <v>0</v>
      </c>
      <c r="F58" s="22">
        <v>0</v>
      </c>
      <c r="G58" s="22">
        <v>0</v>
      </c>
      <c r="H58" s="22">
        <v>2.5281230769230779E-3</v>
      </c>
      <c r="I58" s="22">
        <v>3.6236430769230756E-2</v>
      </c>
      <c r="J58" s="22">
        <v>0.11882178461538459</v>
      </c>
      <c r="K58" s="22">
        <v>0.24354252307692295</v>
      </c>
      <c r="L58" s="22">
        <v>0.3792184615384615</v>
      </c>
      <c r="M58" s="22">
        <v>0.49719753846153814</v>
      </c>
      <c r="N58" s="22">
        <v>0.60169329230769264</v>
      </c>
      <c r="O58" s="22">
        <v>0.65815470769230788</v>
      </c>
      <c r="P58" s="22">
        <v>0.66658178461538464</v>
      </c>
      <c r="Q58" s="22">
        <v>0.61433390769230789</v>
      </c>
      <c r="R58" s="22">
        <v>0.5140516923076921</v>
      </c>
      <c r="S58" s="22">
        <v>0.38764553846153854</v>
      </c>
      <c r="T58" s="22">
        <v>0.24859876923076907</v>
      </c>
      <c r="U58" s="22">
        <v>0.11208012307692304</v>
      </c>
      <c r="V58" s="22">
        <v>3.2865599999999974E-2</v>
      </c>
      <c r="W58" s="22">
        <v>3.3708307692307676E-3</v>
      </c>
      <c r="X58" s="22">
        <v>0</v>
      </c>
      <c r="Y58" s="22">
        <v>0</v>
      </c>
      <c r="Z58" s="22">
        <v>0</v>
      </c>
      <c r="AA58" s="22">
        <f>HLOOKUP('Summary Sheet'!$B$12,Working!$N$64:$X$76,Working!B58+1,0)</f>
        <v>1</v>
      </c>
      <c r="AF58" s="18" t="s">
        <v>11</v>
      </c>
      <c r="AG58" s="17">
        <v>12</v>
      </c>
      <c r="AH58" s="18">
        <f t="shared" si="117"/>
        <v>0</v>
      </c>
      <c r="AI58" s="18">
        <f t="shared" si="118"/>
        <v>0</v>
      </c>
      <c r="AJ58" s="18">
        <f t="shared" si="119"/>
        <v>0</v>
      </c>
      <c r="AK58" s="18">
        <f t="shared" si="120"/>
        <v>0</v>
      </c>
      <c r="AL58" s="18">
        <f t="shared" si="121"/>
        <v>0</v>
      </c>
      <c r="AM58" s="18">
        <f t="shared" si="122"/>
        <v>0</v>
      </c>
      <c r="AN58" s="18">
        <f t="shared" si="123"/>
        <v>0</v>
      </c>
      <c r="AO58" s="18">
        <f t="shared" si="124"/>
        <v>73.411546816228565</v>
      </c>
      <c r="AP58" s="18">
        <f t="shared" si="125"/>
        <v>960.0455322315338</v>
      </c>
      <c r="AQ58" s="18">
        <f t="shared" si="126"/>
        <v>1954.1836520203574</v>
      </c>
      <c r="AR58" s="18">
        <f t="shared" si="127"/>
        <v>2843.2176700527025</v>
      </c>
      <c r="AS58" s="18">
        <f t="shared" si="128"/>
        <v>3635.6626069279091</v>
      </c>
      <c r="AT58" s="18">
        <f t="shared" si="129"/>
        <v>4059.3499437695191</v>
      </c>
      <c r="AU58" s="18">
        <f t="shared" si="130"/>
        <v>4121.046914567878</v>
      </c>
      <c r="AV58" s="18">
        <f t="shared" si="131"/>
        <v>3722.1388679309803</v>
      </c>
      <c r="AW58" s="18">
        <f t="shared" si="132"/>
        <v>2964.8739098270908</v>
      </c>
      <c r="AX58" s="18">
        <f t="shared" si="133"/>
        <v>2023.7524218670865</v>
      </c>
      <c r="AY58" s="18">
        <f t="shared" si="134"/>
        <v>1020.4828776033722</v>
      </c>
      <c r="AZ58" s="18">
        <f t="shared" si="135"/>
        <v>2.0946427789241397</v>
      </c>
      <c r="BA58" s="18">
        <f t="shared" si="136"/>
        <v>0</v>
      </c>
      <c r="BB58" s="18">
        <f t="shared" si="137"/>
        <v>0</v>
      </c>
      <c r="BC58" s="18">
        <f t="shared" si="138"/>
        <v>0</v>
      </c>
      <c r="BD58" s="18">
        <f t="shared" si="139"/>
        <v>0</v>
      </c>
      <c r="BE58" s="18">
        <f t="shared" si="140"/>
        <v>0</v>
      </c>
      <c r="BF58" s="18">
        <v>31</v>
      </c>
      <c r="BG58" s="18">
        <f t="shared" si="144"/>
        <v>606277.19869871507</v>
      </c>
      <c r="BH58" s="18">
        <f t="shared" si="145"/>
        <v>242510.87947948591</v>
      </c>
      <c r="BI58" s="18">
        <f t="shared" si="141"/>
        <v>848788.07817820099</v>
      </c>
      <c r="BK58" s="18" t="s">
        <v>11</v>
      </c>
      <c r="BL58" s="17">
        <v>12</v>
      </c>
      <c r="BM58" s="18">
        <f t="shared" si="146"/>
        <v>0</v>
      </c>
      <c r="BN58" s="18">
        <f t="shared" si="147"/>
        <v>0</v>
      </c>
      <c r="BO58" s="18">
        <f t="shared" si="148"/>
        <v>0</v>
      </c>
      <c r="BP58" s="18">
        <f t="shared" si="149"/>
        <v>0</v>
      </c>
      <c r="BQ58" s="18">
        <f t="shared" si="150"/>
        <v>0</v>
      </c>
      <c r="BR58" s="18">
        <f t="shared" si="151"/>
        <v>0</v>
      </c>
      <c r="BS58" s="18">
        <f t="shared" si="152"/>
        <v>0</v>
      </c>
      <c r="BT58" s="18">
        <f t="shared" si="153"/>
        <v>0</v>
      </c>
      <c r="BU58" s="18">
        <f t="shared" si="154"/>
        <v>0</v>
      </c>
      <c r="BV58" s="18">
        <f t="shared" si="155"/>
        <v>0</v>
      </c>
      <c r="BW58" s="18">
        <f t="shared" si="156"/>
        <v>0</v>
      </c>
      <c r="BX58" s="18">
        <f t="shared" si="157"/>
        <v>0</v>
      </c>
      <c r="BY58" s="18">
        <f t="shared" si="158"/>
        <v>0</v>
      </c>
      <c r="BZ58" s="18">
        <f t="shared" si="159"/>
        <v>0</v>
      </c>
      <c r="CA58" s="18">
        <f t="shared" si="160"/>
        <v>0</v>
      </c>
      <c r="CB58" s="18">
        <f t="shared" si="161"/>
        <v>0</v>
      </c>
      <c r="CC58" s="18">
        <f t="shared" si="162"/>
        <v>0</v>
      </c>
      <c r="CD58" s="18">
        <f t="shared" si="163"/>
        <v>0</v>
      </c>
      <c r="CE58" s="18">
        <f t="shared" si="164"/>
        <v>0</v>
      </c>
      <c r="CF58" s="18">
        <f t="shared" si="165"/>
        <v>0</v>
      </c>
      <c r="CG58" s="18">
        <f t="shared" si="166"/>
        <v>0</v>
      </c>
      <c r="CH58" s="18">
        <f t="shared" si="167"/>
        <v>0</v>
      </c>
      <c r="CI58" s="18">
        <f t="shared" si="168"/>
        <v>0</v>
      </c>
      <c r="CJ58" s="18">
        <f t="shared" si="169"/>
        <v>0</v>
      </c>
      <c r="CK58" s="18">
        <v>31</v>
      </c>
      <c r="CL58" s="18">
        <f t="shared" si="170"/>
        <v>0</v>
      </c>
      <c r="CM58" s="18">
        <f t="shared" si="171"/>
        <v>0</v>
      </c>
      <c r="CN58" s="18">
        <f t="shared" si="143"/>
        <v>0</v>
      </c>
    </row>
    <row r="59" spans="1:94" x14ac:dyDescent="0.25">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G59" s="20">
        <f>SUM(BG47:BG58)</f>
        <v>5435375.447596713</v>
      </c>
      <c r="BH59" s="20">
        <f>SUM(BH47:BH58)</f>
        <v>2174150.1790386848</v>
      </c>
      <c r="BI59" s="20">
        <f>SUM(BI47:BI58)</f>
        <v>7609525.6266353969</v>
      </c>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L59" s="20">
        <f>SUM(CL47:CL58)</f>
        <v>0</v>
      </c>
      <c r="CM59" s="20">
        <f>SUM(CM47:CM58)</f>
        <v>0</v>
      </c>
      <c r="CN59" s="20">
        <f>SUM(CN47:CN58)</f>
        <v>0</v>
      </c>
      <c r="CP59" s="31"/>
    </row>
    <row r="60" spans="1:94" x14ac:dyDescent="0.25">
      <c r="C60" s="114">
        <v>7.7</v>
      </c>
      <c r="D60" s="114">
        <v>6.8</v>
      </c>
      <c r="E60" s="114">
        <v>5.5</v>
      </c>
      <c r="F60" s="114">
        <v>3.9</v>
      </c>
      <c r="G60" s="114">
        <v>2.7</v>
      </c>
      <c r="H60" s="114">
        <v>2.1</v>
      </c>
      <c r="I60" s="114">
        <v>2.2000000000000002</v>
      </c>
      <c r="J60" s="114">
        <v>3.2</v>
      </c>
      <c r="K60" s="114">
        <v>4.3</v>
      </c>
      <c r="L60" s="114">
        <v>5.9</v>
      </c>
      <c r="M60" s="114">
        <v>6.9</v>
      </c>
      <c r="N60" s="114">
        <v>7.7</v>
      </c>
    </row>
    <row r="61" spans="1:94" x14ac:dyDescent="0.25">
      <c r="A61" s="114">
        <v>6.7</v>
      </c>
      <c r="B61" s="114">
        <v>5.7</v>
      </c>
      <c r="C61" s="114">
        <v>4.5999999999999996</v>
      </c>
      <c r="D61" s="114">
        <v>3.2</v>
      </c>
      <c r="E61" s="114">
        <v>2.2999999999999998</v>
      </c>
      <c r="F61" s="114">
        <v>1.8</v>
      </c>
      <c r="G61" s="114">
        <v>2.1</v>
      </c>
      <c r="H61" s="114">
        <v>2.9</v>
      </c>
      <c r="I61" s="114">
        <v>3.9</v>
      </c>
      <c r="J61" s="114">
        <v>5.2</v>
      </c>
      <c r="K61" s="114">
        <v>6.1</v>
      </c>
      <c r="L61" s="114">
        <v>6.7</v>
      </c>
      <c r="AF61" s="12" t="s">
        <v>49</v>
      </c>
      <c r="AG61" s="13"/>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5"/>
      <c r="BF61" s="15" t="s">
        <v>15</v>
      </c>
      <c r="BG61" s="15" t="s">
        <v>33</v>
      </c>
      <c r="BH61" s="15" t="s">
        <v>34</v>
      </c>
      <c r="BI61" s="15" t="s">
        <v>22</v>
      </c>
      <c r="BK61" s="12" t="s">
        <v>51</v>
      </c>
      <c r="BL61" s="13"/>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5"/>
      <c r="CK61" s="15" t="s">
        <v>15</v>
      </c>
      <c r="CL61" s="15" t="s">
        <v>33</v>
      </c>
      <c r="CM61" s="15" t="s">
        <v>34</v>
      </c>
      <c r="CN61" s="15" t="s">
        <v>22</v>
      </c>
    </row>
    <row r="62" spans="1:94" x14ac:dyDescent="0.25">
      <c r="A62" s="114"/>
      <c r="B62" s="114"/>
      <c r="C62" s="114"/>
      <c r="D62" s="114"/>
      <c r="E62" s="114"/>
      <c r="F62" s="114"/>
      <c r="G62" s="114"/>
      <c r="H62" s="114"/>
      <c r="I62" s="114"/>
      <c r="J62" s="114"/>
      <c r="K62" s="114"/>
      <c r="L62" s="114"/>
      <c r="AF62" s="16"/>
      <c r="AG62" s="3" t="s">
        <v>12</v>
      </c>
      <c r="AH62" s="16">
        <v>0</v>
      </c>
      <c r="AI62" s="16">
        <v>1</v>
      </c>
      <c r="AJ62" s="16">
        <v>2</v>
      </c>
      <c r="AK62" s="16">
        <v>3</v>
      </c>
      <c r="AL62" s="16">
        <v>4</v>
      </c>
      <c r="AM62" s="16">
        <v>5</v>
      </c>
      <c r="AN62" s="16">
        <v>6</v>
      </c>
      <c r="AO62" s="16">
        <v>7</v>
      </c>
      <c r="AP62" s="16">
        <v>8</v>
      </c>
      <c r="AQ62" s="16">
        <v>9</v>
      </c>
      <c r="AR62" s="16">
        <v>10</v>
      </c>
      <c r="AS62" s="16">
        <v>11</v>
      </c>
      <c r="AT62" s="16">
        <v>12</v>
      </c>
      <c r="AU62" s="16">
        <v>13</v>
      </c>
      <c r="AV62" s="16">
        <v>14</v>
      </c>
      <c r="AW62" s="16">
        <v>15</v>
      </c>
      <c r="AX62" s="16">
        <v>16</v>
      </c>
      <c r="AY62" s="16">
        <v>17</v>
      </c>
      <c r="AZ62" s="16">
        <v>18</v>
      </c>
      <c r="BA62" s="16">
        <v>19</v>
      </c>
      <c r="BB62" s="16">
        <v>20</v>
      </c>
      <c r="BC62" s="16">
        <v>21</v>
      </c>
      <c r="BD62" s="16">
        <v>22</v>
      </c>
      <c r="BE62" s="16">
        <v>23</v>
      </c>
      <c r="BF62" s="16"/>
      <c r="BG62" s="16"/>
      <c r="BH62" s="16"/>
      <c r="BI62" s="16"/>
      <c r="BK62" s="16"/>
      <c r="BL62" s="3" t="s">
        <v>12</v>
      </c>
      <c r="BM62" s="16">
        <v>0</v>
      </c>
      <c r="BN62" s="16">
        <v>1</v>
      </c>
      <c r="BO62" s="16">
        <v>2</v>
      </c>
      <c r="BP62" s="16">
        <v>3</v>
      </c>
      <c r="BQ62" s="16">
        <v>4</v>
      </c>
      <c r="BR62" s="16">
        <v>5</v>
      </c>
      <c r="BS62" s="16">
        <v>6</v>
      </c>
      <c r="BT62" s="16">
        <v>7</v>
      </c>
      <c r="BU62" s="16">
        <v>8</v>
      </c>
      <c r="BV62" s="16">
        <v>9</v>
      </c>
      <c r="BW62" s="16">
        <v>10</v>
      </c>
      <c r="BX62" s="16">
        <v>11</v>
      </c>
      <c r="BY62" s="16">
        <v>12</v>
      </c>
      <c r="BZ62" s="16">
        <v>13</v>
      </c>
      <c r="CA62" s="16">
        <v>14</v>
      </c>
      <c r="CB62" s="16">
        <v>15</v>
      </c>
      <c r="CC62" s="16">
        <v>16</v>
      </c>
      <c r="CD62" s="16">
        <v>17</v>
      </c>
      <c r="CE62" s="16">
        <v>18</v>
      </c>
      <c r="CF62" s="16">
        <v>19</v>
      </c>
      <c r="CG62" s="16">
        <v>20</v>
      </c>
      <c r="CH62" s="16">
        <v>21</v>
      </c>
      <c r="CI62" s="16">
        <v>22</v>
      </c>
      <c r="CJ62" s="16">
        <v>23</v>
      </c>
      <c r="CK62" s="16"/>
      <c r="CL62" s="16"/>
      <c r="CM62" s="16"/>
      <c r="CN62" s="16"/>
    </row>
    <row r="63" spans="1:94" x14ac:dyDescent="0.25">
      <c r="J63" s="3" t="s">
        <v>85</v>
      </c>
      <c r="N63" s="3" t="s">
        <v>86</v>
      </c>
      <c r="AF63" s="18" t="s">
        <v>0</v>
      </c>
      <c r="AG63" s="17">
        <v>1</v>
      </c>
      <c r="AH63" s="18">
        <f>MAX(AH15,0)</f>
        <v>1520.66656951711</v>
      </c>
      <c r="AI63" s="18">
        <f t="shared" ref="AI63:BE63" si="172">MAX(AI15,0)</f>
        <v>1492.0119648072291</v>
      </c>
      <c r="AJ63" s="18">
        <f t="shared" si="172"/>
        <v>1464.7691573745192</v>
      </c>
      <c r="AK63" s="18">
        <f t="shared" si="172"/>
        <v>1484.2585772493817</v>
      </c>
      <c r="AL63" s="18">
        <f t="shared" si="172"/>
        <v>1583.6374844365807</v>
      </c>
      <c r="AM63" s="18">
        <f t="shared" si="172"/>
        <v>967.35761928825389</v>
      </c>
      <c r="AN63" s="18">
        <f t="shared" si="172"/>
        <v>596.47883407768222</v>
      </c>
      <c r="AO63" s="18">
        <f t="shared" si="172"/>
        <v>120.17163990966401</v>
      </c>
      <c r="AP63" s="18">
        <f t="shared" si="172"/>
        <v>0</v>
      </c>
      <c r="AQ63" s="18">
        <f t="shared" si="172"/>
        <v>0</v>
      </c>
      <c r="AR63" s="18">
        <f t="shared" si="172"/>
        <v>0</v>
      </c>
      <c r="AS63" s="18">
        <f t="shared" si="172"/>
        <v>0</v>
      </c>
      <c r="AT63" s="18">
        <f t="shared" si="172"/>
        <v>0</v>
      </c>
      <c r="AU63" s="18">
        <f t="shared" si="172"/>
        <v>0</v>
      </c>
      <c r="AV63" s="18">
        <f t="shared" si="172"/>
        <v>0</v>
      </c>
      <c r="AW63" s="18">
        <f t="shared" si="172"/>
        <v>0</v>
      </c>
      <c r="AX63" s="18">
        <f t="shared" si="172"/>
        <v>0</v>
      </c>
      <c r="AY63" s="18">
        <f t="shared" si="172"/>
        <v>0</v>
      </c>
      <c r="AZ63" s="18">
        <f t="shared" si="172"/>
        <v>0</v>
      </c>
      <c r="BA63" s="18">
        <f t="shared" si="172"/>
        <v>865.18370365660417</v>
      </c>
      <c r="BB63" s="18">
        <f t="shared" si="172"/>
        <v>1649.5402459215188</v>
      </c>
      <c r="BC63" s="18">
        <f t="shared" si="172"/>
        <v>1597.4672143835883</v>
      </c>
      <c r="BD63" s="18">
        <f t="shared" si="172"/>
        <v>1558.6270758986575</v>
      </c>
      <c r="BE63" s="18">
        <f t="shared" si="172"/>
        <v>1539.4588368734326</v>
      </c>
      <c r="BF63" s="18">
        <v>31</v>
      </c>
      <c r="BG63" s="18">
        <f>SUM(AO63:BD63)*BF63*5/7</f>
        <v>128229.06162347931</v>
      </c>
      <c r="BH63" s="18">
        <f>BI63-BG63</f>
        <v>381399.43500174169</v>
      </c>
      <c r="BI63" s="18">
        <f t="shared" ref="BI63:BI74" si="173">BF63*(SUM(AH63:BE63))</f>
        <v>509628.49662522099</v>
      </c>
      <c r="BK63" s="18" t="s">
        <v>0</v>
      </c>
      <c r="BL63" s="17">
        <v>1</v>
      </c>
      <c r="BM63" s="18">
        <f>BM31-BM47</f>
        <v>0</v>
      </c>
      <c r="BN63" s="18">
        <f>BN31-BN47</f>
        <v>0</v>
      </c>
      <c r="BO63" s="18">
        <f t="shared" ref="BO63:CJ63" si="174">BO31-BO47</f>
        <v>0</v>
      </c>
      <c r="BP63" s="18">
        <f t="shared" si="174"/>
        <v>0</v>
      </c>
      <c r="BQ63" s="18">
        <f t="shared" si="174"/>
        <v>0</v>
      </c>
      <c r="BR63" s="18">
        <f t="shared" si="174"/>
        <v>0</v>
      </c>
      <c r="BS63" s="18">
        <f t="shared" si="174"/>
        <v>0</v>
      </c>
      <c r="BT63" s="18">
        <f t="shared" si="174"/>
        <v>0</v>
      </c>
      <c r="BU63" s="18">
        <f>BU31-BU47</f>
        <v>0</v>
      </c>
      <c r="BV63" s="18">
        <f t="shared" si="174"/>
        <v>0</v>
      </c>
      <c r="BW63" s="18">
        <f t="shared" si="174"/>
        <v>0</v>
      </c>
      <c r="BX63" s="18">
        <f t="shared" si="174"/>
        <v>0</v>
      </c>
      <c r="BY63" s="18">
        <f t="shared" si="174"/>
        <v>0</v>
      </c>
      <c r="BZ63" s="18">
        <f>BZ31-BZ47</f>
        <v>0</v>
      </c>
      <c r="CA63" s="18">
        <f t="shared" si="174"/>
        <v>0</v>
      </c>
      <c r="CB63" s="18">
        <f t="shared" si="174"/>
        <v>0</v>
      </c>
      <c r="CC63" s="18">
        <f t="shared" si="174"/>
        <v>0</v>
      </c>
      <c r="CD63" s="18">
        <f t="shared" si="174"/>
        <v>0</v>
      </c>
      <c r="CE63" s="18">
        <f t="shared" si="174"/>
        <v>0</v>
      </c>
      <c r="CF63" s="18">
        <f t="shared" si="174"/>
        <v>0</v>
      </c>
      <c r="CG63" s="18">
        <f t="shared" si="174"/>
        <v>0</v>
      </c>
      <c r="CH63" s="18">
        <f t="shared" si="174"/>
        <v>0</v>
      </c>
      <c r="CI63" s="18">
        <f t="shared" si="174"/>
        <v>0</v>
      </c>
      <c r="CJ63" s="18">
        <f t="shared" si="174"/>
        <v>0</v>
      </c>
      <c r="CK63" s="18">
        <v>31</v>
      </c>
      <c r="CL63" s="18">
        <f>SUM(BT63:CI63)*CK63*5/7</f>
        <v>0</v>
      </c>
      <c r="CM63" s="18">
        <f>CN63-CL63</f>
        <v>0</v>
      </c>
      <c r="CN63" s="18">
        <f t="shared" ref="CN63:CN74" si="175">CK63*(SUM(BM63:CJ63))</f>
        <v>0</v>
      </c>
    </row>
    <row r="64" spans="1:94" x14ac:dyDescent="0.25">
      <c r="A64" s="3" t="s">
        <v>242</v>
      </c>
      <c r="B64" s="3" t="s">
        <v>243</v>
      </c>
      <c r="C64" s="3" t="s">
        <v>244</v>
      </c>
      <c r="D64" s="3" t="s">
        <v>246</v>
      </c>
      <c r="E64" s="3" t="s">
        <v>245</v>
      </c>
      <c r="F64" s="3" t="s">
        <v>247</v>
      </c>
      <c r="G64" s="3" t="s">
        <v>248</v>
      </c>
      <c r="I64" s="3" t="s">
        <v>87</v>
      </c>
      <c r="J64" s="3" t="s">
        <v>77</v>
      </c>
      <c r="K64" s="3" t="s">
        <v>78</v>
      </c>
      <c r="L64" s="3" t="s">
        <v>249</v>
      </c>
      <c r="M64" s="3" t="s">
        <v>228</v>
      </c>
      <c r="N64" s="3" t="s">
        <v>267</v>
      </c>
      <c r="O64" s="3" t="s">
        <v>269</v>
      </c>
      <c r="P64" s="3" t="s">
        <v>268</v>
      </c>
      <c r="Q64" s="3" t="s">
        <v>270</v>
      </c>
      <c r="R64" s="3" t="s">
        <v>271</v>
      </c>
      <c r="S64" s="3" t="s">
        <v>272</v>
      </c>
      <c r="T64" s="3" t="s">
        <v>273</v>
      </c>
      <c r="U64" s="3" t="s">
        <v>274</v>
      </c>
      <c r="V64" s="3" t="s">
        <v>275</v>
      </c>
      <c r="W64" s="3" t="s">
        <v>276</v>
      </c>
      <c r="X64" s="3" t="s">
        <v>277</v>
      </c>
      <c r="AF64" s="18" t="s">
        <v>1</v>
      </c>
      <c r="AG64" s="17">
        <v>2</v>
      </c>
      <c r="AH64" s="18">
        <f t="shared" ref="AH64:BE64" si="176">MAX(AH16,0)</f>
        <v>1533.9272605976807</v>
      </c>
      <c r="AI64" s="18">
        <f t="shared" si="176"/>
        <v>1501.7538230565597</v>
      </c>
      <c r="AJ64" s="18">
        <f t="shared" si="176"/>
        <v>1499.1285484004959</v>
      </c>
      <c r="AK64" s="18">
        <f t="shared" si="176"/>
        <v>1532.8758944431861</v>
      </c>
      <c r="AL64" s="18">
        <f t="shared" si="176"/>
        <v>1604.1814563214552</v>
      </c>
      <c r="AM64" s="18">
        <f t="shared" si="176"/>
        <v>1519.0682995975619</v>
      </c>
      <c r="AN64" s="18">
        <f t="shared" si="176"/>
        <v>763.96965708451557</v>
      </c>
      <c r="AO64" s="18">
        <f t="shared" si="176"/>
        <v>420.88830569794771</v>
      </c>
      <c r="AP64" s="18">
        <f t="shared" si="176"/>
        <v>0</v>
      </c>
      <c r="AQ64" s="18">
        <f t="shared" si="176"/>
        <v>0</v>
      </c>
      <c r="AR64" s="18">
        <f t="shared" si="176"/>
        <v>0</v>
      </c>
      <c r="AS64" s="18">
        <f t="shared" si="176"/>
        <v>0</v>
      </c>
      <c r="AT64" s="18">
        <f t="shared" si="176"/>
        <v>0</v>
      </c>
      <c r="AU64" s="18">
        <f t="shared" si="176"/>
        <v>0</v>
      </c>
      <c r="AV64" s="18">
        <f t="shared" si="176"/>
        <v>0</v>
      </c>
      <c r="AW64" s="18">
        <f t="shared" si="176"/>
        <v>0</v>
      </c>
      <c r="AX64" s="18">
        <f t="shared" si="176"/>
        <v>0</v>
      </c>
      <c r="AY64" s="18">
        <f t="shared" si="176"/>
        <v>0</v>
      </c>
      <c r="AZ64" s="18">
        <f t="shared" si="176"/>
        <v>71.384496167351131</v>
      </c>
      <c r="BA64" s="18">
        <f t="shared" si="176"/>
        <v>1613.5621460434627</v>
      </c>
      <c r="BB64" s="18">
        <f t="shared" si="176"/>
        <v>1810.3384821345685</v>
      </c>
      <c r="BC64" s="18">
        <f t="shared" si="176"/>
        <v>1706.1899056398679</v>
      </c>
      <c r="BD64" s="18">
        <f t="shared" si="176"/>
        <v>1589.1033245289054</v>
      </c>
      <c r="BE64" s="18">
        <f t="shared" si="176"/>
        <v>1561.5955062108035</v>
      </c>
      <c r="BF64" s="18">
        <v>28</v>
      </c>
      <c r="BG64" s="18">
        <f t="shared" ref="BG64:BG74" si="177">SUM(AO64:BD64)*BF64*5/7</f>
        <v>144229.33320424208</v>
      </c>
      <c r="BH64" s="18">
        <f t="shared" ref="BH64:BH74" si="178">BI64-BG64</f>
        <v>380153.74576164014</v>
      </c>
      <c r="BI64" s="18">
        <f t="shared" si="173"/>
        <v>524383.07896588219</v>
      </c>
      <c r="BK64" s="18" t="s">
        <v>1</v>
      </c>
      <c r="BL64" s="17">
        <v>2</v>
      </c>
      <c r="BM64" s="18">
        <f t="shared" ref="BM64:CJ64" si="179">BM32-BM48</f>
        <v>0</v>
      </c>
      <c r="BN64" s="18">
        <f t="shared" si="179"/>
        <v>0</v>
      </c>
      <c r="BO64" s="18">
        <f t="shared" si="179"/>
        <v>0</v>
      </c>
      <c r="BP64" s="18">
        <f t="shared" si="179"/>
        <v>0</v>
      </c>
      <c r="BQ64" s="18">
        <f t="shared" si="179"/>
        <v>0</v>
      </c>
      <c r="BR64" s="18">
        <f t="shared" si="179"/>
        <v>0</v>
      </c>
      <c r="BS64" s="18">
        <f t="shared" si="179"/>
        <v>0</v>
      </c>
      <c r="BT64" s="18">
        <f t="shared" si="179"/>
        <v>0</v>
      </c>
      <c r="BU64" s="18">
        <f t="shared" si="179"/>
        <v>0</v>
      </c>
      <c r="BV64" s="18">
        <f t="shared" si="179"/>
        <v>0</v>
      </c>
      <c r="BW64" s="18">
        <f t="shared" si="179"/>
        <v>0</v>
      </c>
      <c r="BX64" s="18">
        <f t="shared" si="179"/>
        <v>0</v>
      </c>
      <c r="BY64" s="18">
        <f t="shared" si="179"/>
        <v>0</v>
      </c>
      <c r="BZ64" s="18">
        <f t="shared" si="179"/>
        <v>0</v>
      </c>
      <c r="CA64" s="18">
        <f t="shared" si="179"/>
        <v>0</v>
      </c>
      <c r="CB64" s="18">
        <f t="shared" si="179"/>
        <v>0</v>
      </c>
      <c r="CC64" s="18">
        <f t="shared" si="179"/>
        <v>0</v>
      </c>
      <c r="CD64" s="18">
        <f t="shared" si="179"/>
        <v>0</v>
      </c>
      <c r="CE64" s="18">
        <f t="shared" si="179"/>
        <v>0</v>
      </c>
      <c r="CF64" s="18">
        <f t="shared" si="179"/>
        <v>0</v>
      </c>
      <c r="CG64" s="18">
        <f t="shared" si="179"/>
        <v>0</v>
      </c>
      <c r="CH64" s="18">
        <f t="shared" si="179"/>
        <v>0</v>
      </c>
      <c r="CI64" s="18">
        <f t="shared" si="179"/>
        <v>0</v>
      </c>
      <c r="CJ64" s="18">
        <f t="shared" si="179"/>
        <v>0</v>
      </c>
      <c r="CK64" s="18">
        <v>28</v>
      </c>
      <c r="CL64" s="18">
        <f t="shared" ref="CL64:CL74" si="180">SUM(BT64:CI64)*CK64*5/7</f>
        <v>0</v>
      </c>
      <c r="CM64" s="18">
        <f t="shared" ref="CM64:CM74" si="181">CN64-CL64</f>
        <v>0</v>
      </c>
      <c r="CN64" s="18">
        <f t="shared" si="175"/>
        <v>0</v>
      </c>
    </row>
    <row r="65" spans="1:92" x14ac:dyDescent="0.25">
      <c r="A65" s="122">
        <v>7.8</v>
      </c>
      <c r="B65" s="114">
        <v>7.6</v>
      </c>
      <c r="C65" s="114">
        <v>7</v>
      </c>
      <c r="D65" s="114">
        <v>7.2</v>
      </c>
      <c r="E65" s="114">
        <v>7.7</v>
      </c>
      <c r="F65" s="114">
        <v>7.6</v>
      </c>
      <c r="G65" s="114">
        <v>6.7</v>
      </c>
      <c r="H65" s="3" t="s">
        <v>0</v>
      </c>
      <c r="I65" s="3">
        <v>1</v>
      </c>
      <c r="J65" s="3">
        <v>6.8</v>
      </c>
      <c r="K65" s="3">
        <v>7.8</v>
      </c>
      <c r="L65" s="3">
        <v>7.7</v>
      </c>
      <c r="M65" s="3">
        <v>7.7</v>
      </c>
      <c r="N65" s="3">
        <v>1</v>
      </c>
      <c r="O65" s="3">
        <v>1.1470588235294117</v>
      </c>
      <c r="P65" s="3">
        <v>1.1323529411764706</v>
      </c>
      <c r="Q65" s="3">
        <f>M65/J65</f>
        <v>1.1323529411764706</v>
      </c>
      <c r="R65" s="3">
        <f>A65/$J65</f>
        <v>1.1470588235294117</v>
      </c>
      <c r="S65" s="3">
        <f t="shared" ref="S65:X65" si="182">B65/$J65</f>
        <v>1.1176470588235294</v>
      </c>
      <c r="T65" s="3">
        <f t="shared" si="182"/>
        <v>1.0294117647058825</v>
      </c>
      <c r="U65" s="3">
        <f t="shared" si="182"/>
        <v>1.0588235294117647</v>
      </c>
      <c r="V65" s="3">
        <f t="shared" si="182"/>
        <v>1.1323529411764706</v>
      </c>
      <c r="W65" s="3">
        <f t="shared" si="182"/>
        <v>1.1176470588235294</v>
      </c>
      <c r="X65" s="3">
        <f t="shared" si="182"/>
        <v>0.98529411764705888</v>
      </c>
      <c r="AF65" s="18" t="s">
        <v>2</v>
      </c>
      <c r="AG65" s="17">
        <v>3</v>
      </c>
      <c r="AH65" s="18">
        <f t="shared" ref="AH65:BE65" si="183">MAX(AH17,0)</f>
        <v>1572.4364464733935</v>
      </c>
      <c r="AI65" s="18">
        <f t="shared" si="183"/>
        <v>1537.1421823399328</v>
      </c>
      <c r="AJ65" s="18">
        <f t="shared" si="183"/>
        <v>1531.9118604521536</v>
      </c>
      <c r="AK65" s="18">
        <f t="shared" si="183"/>
        <v>1569.6803507164302</v>
      </c>
      <c r="AL65" s="18">
        <f t="shared" si="183"/>
        <v>1643.0627878855321</v>
      </c>
      <c r="AM65" s="18">
        <f t="shared" si="183"/>
        <v>1749.9632037837218</v>
      </c>
      <c r="AN65" s="18">
        <f t="shared" si="183"/>
        <v>1132.0629691902827</v>
      </c>
      <c r="AO65" s="18">
        <f t="shared" si="183"/>
        <v>698.97845114908569</v>
      </c>
      <c r="AP65" s="18">
        <f t="shared" si="183"/>
        <v>0</v>
      </c>
      <c r="AQ65" s="18">
        <f t="shared" si="183"/>
        <v>0</v>
      </c>
      <c r="AR65" s="18">
        <f t="shared" si="183"/>
        <v>0</v>
      </c>
      <c r="AS65" s="18">
        <f t="shared" si="183"/>
        <v>0</v>
      </c>
      <c r="AT65" s="18">
        <f t="shared" si="183"/>
        <v>0</v>
      </c>
      <c r="AU65" s="18">
        <f t="shared" si="183"/>
        <v>0</v>
      </c>
      <c r="AV65" s="18">
        <f t="shared" si="183"/>
        <v>0</v>
      </c>
      <c r="AW65" s="18">
        <f t="shared" si="183"/>
        <v>0</v>
      </c>
      <c r="AX65" s="18">
        <f t="shared" si="183"/>
        <v>0</v>
      </c>
      <c r="AY65" s="18">
        <f t="shared" si="183"/>
        <v>0</v>
      </c>
      <c r="AZ65" s="18">
        <f t="shared" si="183"/>
        <v>1200.384995596045</v>
      </c>
      <c r="BA65" s="18">
        <f t="shared" si="183"/>
        <v>2150.6865149043642</v>
      </c>
      <c r="BB65" s="18">
        <f t="shared" si="183"/>
        <v>1841.8822809720359</v>
      </c>
      <c r="BC65" s="18">
        <f t="shared" si="183"/>
        <v>1697.1644714266288</v>
      </c>
      <c r="BD65" s="18">
        <f t="shared" si="183"/>
        <v>1632.7066221388186</v>
      </c>
      <c r="BE65" s="18">
        <f t="shared" si="183"/>
        <v>1593.7083992364578</v>
      </c>
      <c r="BF65" s="18">
        <v>31</v>
      </c>
      <c r="BG65" s="18">
        <f t="shared" si="177"/>
        <v>204197.07387271168</v>
      </c>
      <c r="BH65" s="18">
        <f t="shared" si="178"/>
        <v>463907.8437514996</v>
      </c>
      <c r="BI65" s="18">
        <f t="shared" si="173"/>
        <v>668104.91762421129</v>
      </c>
      <c r="BK65" s="18" t="s">
        <v>2</v>
      </c>
      <c r="BL65" s="17">
        <v>3</v>
      </c>
      <c r="BM65" s="18">
        <f t="shared" ref="BM65:CJ65" si="184">BM33-BM49</f>
        <v>0</v>
      </c>
      <c r="BN65" s="18">
        <f t="shared" si="184"/>
        <v>0</v>
      </c>
      <c r="BO65" s="18">
        <f t="shared" si="184"/>
        <v>0</v>
      </c>
      <c r="BP65" s="18">
        <f t="shared" si="184"/>
        <v>0</v>
      </c>
      <c r="BQ65" s="18">
        <f t="shared" si="184"/>
        <v>0</v>
      </c>
      <c r="BR65" s="18">
        <f t="shared" si="184"/>
        <v>0</v>
      </c>
      <c r="BS65" s="18">
        <f t="shared" si="184"/>
        <v>0</v>
      </c>
      <c r="BT65" s="18">
        <f t="shared" si="184"/>
        <v>0</v>
      </c>
      <c r="BU65" s="18">
        <f t="shared" si="184"/>
        <v>0</v>
      </c>
      <c r="BV65" s="18">
        <f t="shared" si="184"/>
        <v>0</v>
      </c>
      <c r="BW65" s="18">
        <f t="shared" si="184"/>
        <v>0</v>
      </c>
      <c r="BX65" s="18">
        <f t="shared" si="184"/>
        <v>0</v>
      </c>
      <c r="BY65" s="18">
        <f t="shared" si="184"/>
        <v>0</v>
      </c>
      <c r="BZ65" s="18">
        <f t="shared" si="184"/>
        <v>0</v>
      </c>
      <c r="CA65" s="18">
        <f t="shared" si="184"/>
        <v>0</v>
      </c>
      <c r="CB65" s="18">
        <f t="shared" si="184"/>
        <v>0</v>
      </c>
      <c r="CC65" s="18">
        <f t="shared" si="184"/>
        <v>0</v>
      </c>
      <c r="CD65" s="18">
        <f t="shared" si="184"/>
        <v>0</v>
      </c>
      <c r="CE65" s="18">
        <f t="shared" si="184"/>
        <v>0</v>
      </c>
      <c r="CF65" s="18">
        <f t="shared" si="184"/>
        <v>0</v>
      </c>
      <c r="CG65" s="18">
        <f t="shared" si="184"/>
        <v>0</v>
      </c>
      <c r="CH65" s="18">
        <f t="shared" si="184"/>
        <v>0</v>
      </c>
      <c r="CI65" s="18">
        <f t="shared" si="184"/>
        <v>0</v>
      </c>
      <c r="CJ65" s="18">
        <f t="shared" si="184"/>
        <v>0</v>
      </c>
      <c r="CK65" s="18">
        <v>31</v>
      </c>
      <c r="CL65" s="18">
        <f t="shared" si="180"/>
        <v>0</v>
      </c>
      <c r="CM65" s="18">
        <f t="shared" si="181"/>
        <v>0</v>
      </c>
      <c r="CN65" s="18">
        <f t="shared" si="175"/>
        <v>0</v>
      </c>
    </row>
    <row r="66" spans="1:92" x14ac:dyDescent="0.25">
      <c r="A66" s="122">
        <v>6.9</v>
      </c>
      <c r="B66" s="114">
        <v>6.7</v>
      </c>
      <c r="C66" s="114">
        <v>6.1</v>
      </c>
      <c r="D66" s="114">
        <v>6.2</v>
      </c>
      <c r="E66" s="114">
        <v>6.8</v>
      </c>
      <c r="F66" s="114">
        <v>6.6</v>
      </c>
      <c r="G66" s="114">
        <v>5.7</v>
      </c>
      <c r="H66" s="3" t="s">
        <v>1</v>
      </c>
      <c r="I66" s="3">
        <v>2</v>
      </c>
      <c r="J66" s="3">
        <v>5.9</v>
      </c>
      <c r="K66" s="3">
        <v>6.9</v>
      </c>
      <c r="L66" s="3">
        <v>6.7</v>
      </c>
      <c r="M66" s="3">
        <v>6.8</v>
      </c>
      <c r="N66" s="3">
        <v>1</v>
      </c>
      <c r="O66" s="3">
        <v>1.1694915254237288</v>
      </c>
      <c r="P66" s="3">
        <v>1.1355932203389829</v>
      </c>
      <c r="Q66" s="3">
        <f t="shared" ref="Q66:Q76" si="185">M66/J66</f>
        <v>1.1525423728813557</v>
      </c>
      <c r="R66" s="3">
        <f t="shared" ref="R66:R76" si="186">A66/$J66</f>
        <v>1.1694915254237288</v>
      </c>
      <c r="S66" s="3">
        <f t="shared" ref="S66:S76" si="187">B66/$J66</f>
        <v>1.1355932203389829</v>
      </c>
      <c r="T66" s="3">
        <f t="shared" ref="T66:T76" si="188">C66/$J66</f>
        <v>1.0338983050847457</v>
      </c>
      <c r="U66" s="3">
        <f t="shared" ref="U66:U76" si="189">D66/$J66</f>
        <v>1.0508474576271185</v>
      </c>
      <c r="V66" s="3">
        <f t="shared" ref="V66:V76" si="190">E66/$J66</f>
        <v>1.1525423728813557</v>
      </c>
      <c r="W66" s="3">
        <f t="shared" ref="W66:W76" si="191">F66/$J66</f>
        <v>1.1186440677966101</v>
      </c>
      <c r="X66" s="3">
        <f t="shared" ref="X66:X76" si="192">G66/$J66</f>
        <v>0.96610169491525422</v>
      </c>
      <c r="AF66" s="18" t="s">
        <v>3</v>
      </c>
      <c r="AG66" s="17">
        <v>4</v>
      </c>
      <c r="AH66" s="18">
        <f t="shared" ref="AH66:BE66" si="193">MAX(AH18,0)</f>
        <v>1494.6946775335368</v>
      </c>
      <c r="AI66" s="18">
        <f t="shared" si="193"/>
        <v>1478.2681337175006</v>
      </c>
      <c r="AJ66" s="18">
        <f t="shared" si="193"/>
        <v>1453.6726589758939</v>
      </c>
      <c r="AK66" s="18">
        <f t="shared" si="193"/>
        <v>1454.5768849973865</v>
      </c>
      <c r="AL66" s="18">
        <f t="shared" si="193"/>
        <v>1486.5756611151651</v>
      </c>
      <c r="AM66" s="18">
        <f t="shared" si="193"/>
        <v>1566.8251001404346</v>
      </c>
      <c r="AN66" s="18">
        <f t="shared" si="193"/>
        <v>1428.8679965486549</v>
      </c>
      <c r="AO66" s="18">
        <f t="shared" si="193"/>
        <v>687.43947739033217</v>
      </c>
      <c r="AP66" s="18">
        <f t="shared" si="193"/>
        <v>22.252783805130207</v>
      </c>
      <c r="AQ66" s="18">
        <f t="shared" si="193"/>
        <v>0</v>
      </c>
      <c r="AR66" s="18">
        <f t="shared" si="193"/>
        <v>0</v>
      </c>
      <c r="AS66" s="18">
        <f t="shared" si="193"/>
        <v>0</v>
      </c>
      <c r="AT66" s="18">
        <f t="shared" si="193"/>
        <v>0</v>
      </c>
      <c r="AU66" s="18">
        <f t="shared" si="193"/>
        <v>0</v>
      </c>
      <c r="AV66" s="18">
        <f t="shared" si="193"/>
        <v>0</v>
      </c>
      <c r="AW66" s="18">
        <f t="shared" si="193"/>
        <v>0</v>
      </c>
      <c r="AX66" s="18">
        <f t="shared" si="193"/>
        <v>0</v>
      </c>
      <c r="AY66" s="18">
        <f t="shared" si="193"/>
        <v>266.85623317891884</v>
      </c>
      <c r="AZ66" s="18">
        <f t="shared" si="193"/>
        <v>1692.8182247802577</v>
      </c>
      <c r="BA66" s="18">
        <f t="shared" si="193"/>
        <v>1774.0391563363523</v>
      </c>
      <c r="BB66" s="18">
        <f t="shared" si="193"/>
        <v>1702.7595810249009</v>
      </c>
      <c r="BC66" s="18">
        <f t="shared" si="193"/>
        <v>1595.8819292871779</v>
      </c>
      <c r="BD66" s="18">
        <f t="shared" si="193"/>
        <v>1554.6146922032237</v>
      </c>
      <c r="BE66" s="18">
        <f t="shared" si="193"/>
        <v>1513.8528266488827</v>
      </c>
      <c r="BF66" s="18">
        <v>30</v>
      </c>
      <c r="BG66" s="18">
        <f t="shared" si="177"/>
        <v>199214.18738584916</v>
      </c>
      <c r="BH66" s="18">
        <f t="shared" si="178"/>
        <v>436005.69314466324</v>
      </c>
      <c r="BI66" s="18">
        <f t="shared" si="173"/>
        <v>635219.88053051243</v>
      </c>
      <c r="BK66" s="18" t="s">
        <v>3</v>
      </c>
      <c r="BL66" s="17">
        <v>4</v>
      </c>
      <c r="BM66" s="18">
        <f t="shared" ref="BM66:CJ66" si="194">BM34-BM50</f>
        <v>0</v>
      </c>
      <c r="BN66" s="18">
        <f t="shared" si="194"/>
        <v>0</v>
      </c>
      <c r="BO66" s="18">
        <f t="shared" si="194"/>
        <v>0</v>
      </c>
      <c r="BP66" s="18">
        <f t="shared" si="194"/>
        <v>0</v>
      </c>
      <c r="BQ66" s="18">
        <f t="shared" si="194"/>
        <v>0</v>
      </c>
      <c r="BR66" s="18">
        <f t="shared" si="194"/>
        <v>0</v>
      </c>
      <c r="BS66" s="18">
        <f t="shared" si="194"/>
        <v>0</v>
      </c>
      <c r="BT66" s="18">
        <f t="shared" si="194"/>
        <v>0</v>
      </c>
      <c r="BU66" s="18">
        <f t="shared" si="194"/>
        <v>0</v>
      </c>
      <c r="BV66" s="18">
        <f t="shared" si="194"/>
        <v>0</v>
      </c>
      <c r="BW66" s="18">
        <f t="shared" si="194"/>
        <v>0</v>
      </c>
      <c r="BX66" s="18">
        <f t="shared" si="194"/>
        <v>0</v>
      </c>
      <c r="BY66" s="18">
        <f t="shared" si="194"/>
        <v>0</v>
      </c>
      <c r="BZ66" s="18">
        <f t="shared" si="194"/>
        <v>0</v>
      </c>
      <c r="CA66" s="18">
        <f t="shared" si="194"/>
        <v>0</v>
      </c>
      <c r="CB66" s="18">
        <f t="shared" si="194"/>
        <v>0</v>
      </c>
      <c r="CC66" s="18">
        <f t="shared" si="194"/>
        <v>0</v>
      </c>
      <c r="CD66" s="18">
        <f t="shared" si="194"/>
        <v>0</v>
      </c>
      <c r="CE66" s="18">
        <f t="shared" si="194"/>
        <v>0</v>
      </c>
      <c r="CF66" s="18">
        <f t="shared" si="194"/>
        <v>0</v>
      </c>
      <c r="CG66" s="18">
        <f t="shared" si="194"/>
        <v>0</v>
      </c>
      <c r="CH66" s="18">
        <f t="shared" si="194"/>
        <v>0</v>
      </c>
      <c r="CI66" s="18">
        <f t="shared" si="194"/>
        <v>0</v>
      </c>
      <c r="CJ66" s="18">
        <f t="shared" si="194"/>
        <v>0</v>
      </c>
      <c r="CK66" s="18">
        <v>30</v>
      </c>
      <c r="CL66" s="18">
        <f t="shared" si="180"/>
        <v>0</v>
      </c>
      <c r="CM66" s="18">
        <f t="shared" si="181"/>
        <v>0</v>
      </c>
      <c r="CN66" s="18">
        <f t="shared" si="175"/>
        <v>0</v>
      </c>
    </row>
    <row r="67" spans="1:92" x14ac:dyDescent="0.25">
      <c r="A67" s="122">
        <v>5.8</v>
      </c>
      <c r="B67" s="114">
        <v>5.3</v>
      </c>
      <c r="C67" s="114">
        <v>4.8</v>
      </c>
      <c r="D67" s="114">
        <v>4.7</v>
      </c>
      <c r="E67" s="114">
        <v>5.6</v>
      </c>
      <c r="F67" s="114">
        <v>5.5</v>
      </c>
      <c r="G67" s="114">
        <v>4.5999999999999996</v>
      </c>
      <c r="H67" s="3" t="s">
        <v>2</v>
      </c>
      <c r="I67" s="3">
        <v>3</v>
      </c>
      <c r="J67" s="3">
        <v>4.5999999999999996</v>
      </c>
      <c r="K67" s="3">
        <v>5.7</v>
      </c>
      <c r="L67" s="3">
        <v>5.5</v>
      </c>
      <c r="M67" s="3">
        <v>5.5</v>
      </c>
      <c r="N67" s="3">
        <v>1</v>
      </c>
      <c r="O67" s="3">
        <v>1.2391304347826089</v>
      </c>
      <c r="P67" s="3">
        <v>1.1956521739130437</v>
      </c>
      <c r="Q67" s="3">
        <f t="shared" si="185"/>
        <v>1.1956521739130437</v>
      </c>
      <c r="R67" s="3">
        <f t="shared" si="186"/>
        <v>1.2608695652173914</v>
      </c>
      <c r="S67" s="3">
        <f t="shared" si="187"/>
        <v>1.1521739130434783</v>
      </c>
      <c r="T67" s="3">
        <f t="shared" si="188"/>
        <v>1.0434782608695652</v>
      </c>
      <c r="U67" s="3">
        <f t="shared" si="189"/>
        <v>1.0217391304347827</v>
      </c>
      <c r="V67" s="3">
        <f t="shared" si="190"/>
        <v>1.2173913043478262</v>
      </c>
      <c r="W67" s="3">
        <f t="shared" si="191"/>
        <v>1.1956521739130437</v>
      </c>
      <c r="X67" s="3">
        <f t="shared" si="192"/>
        <v>1</v>
      </c>
      <c r="AF67" s="18" t="s">
        <v>4</v>
      </c>
      <c r="AG67" s="17">
        <v>5</v>
      </c>
      <c r="AH67" s="18">
        <f t="shared" ref="AH67:BE67" si="195">MAX(AH19,0)</f>
        <v>1464.8285536062099</v>
      </c>
      <c r="AI67" s="18">
        <f t="shared" si="195"/>
        <v>1440.5371439653006</v>
      </c>
      <c r="AJ67" s="18">
        <f t="shared" si="195"/>
        <v>1400.7703150087</v>
      </c>
      <c r="AK67" s="18">
        <f t="shared" si="195"/>
        <v>1396.34726247239</v>
      </c>
      <c r="AL67" s="18">
        <f t="shared" si="195"/>
        <v>1422.2944667840111</v>
      </c>
      <c r="AM67" s="18">
        <f t="shared" si="195"/>
        <v>1537.2631497374064</v>
      </c>
      <c r="AN67" s="18">
        <f t="shared" si="195"/>
        <v>1675.5128545661973</v>
      </c>
      <c r="AO67" s="18">
        <f t="shared" si="195"/>
        <v>1015.1006192756622</v>
      </c>
      <c r="AP67" s="18">
        <f t="shared" si="195"/>
        <v>588.46478910726523</v>
      </c>
      <c r="AQ67" s="18">
        <f t="shared" si="195"/>
        <v>0</v>
      </c>
      <c r="AR67" s="18">
        <f t="shared" si="195"/>
        <v>0</v>
      </c>
      <c r="AS67" s="18">
        <f t="shared" si="195"/>
        <v>0</v>
      </c>
      <c r="AT67" s="18">
        <f t="shared" si="195"/>
        <v>0</v>
      </c>
      <c r="AU67" s="18">
        <f t="shared" si="195"/>
        <v>0</v>
      </c>
      <c r="AV67" s="18">
        <f t="shared" si="195"/>
        <v>0</v>
      </c>
      <c r="AW67" s="18">
        <f t="shared" si="195"/>
        <v>0</v>
      </c>
      <c r="AX67" s="18">
        <f t="shared" si="195"/>
        <v>0</v>
      </c>
      <c r="AY67" s="18">
        <f t="shared" si="195"/>
        <v>1465.5026124218286</v>
      </c>
      <c r="AZ67" s="18">
        <f t="shared" si="195"/>
        <v>2285.2771858583378</v>
      </c>
      <c r="BA67" s="18">
        <f t="shared" si="195"/>
        <v>2291.647760001073</v>
      </c>
      <c r="BB67" s="18">
        <f t="shared" si="195"/>
        <v>2072.1093575275968</v>
      </c>
      <c r="BC67" s="18">
        <f t="shared" si="195"/>
        <v>1726.1779706005213</v>
      </c>
      <c r="BD67" s="18">
        <f t="shared" si="195"/>
        <v>1607.8099183364905</v>
      </c>
      <c r="BE67" s="18">
        <f t="shared" si="195"/>
        <v>1498.3140178791859</v>
      </c>
      <c r="BF67" s="18">
        <v>31</v>
      </c>
      <c r="BG67" s="18">
        <f t="shared" si="177"/>
        <v>289010.56900499435</v>
      </c>
      <c r="BH67" s="18">
        <f t="shared" si="178"/>
        <v>482516.12828659918</v>
      </c>
      <c r="BI67" s="18">
        <f t="shared" si="173"/>
        <v>771526.69729159353</v>
      </c>
      <c r="BK67" s="18" t="s">
        <v>4</v>
      </c>
      <c r="BL67" s="17">
        <v>5</v>
      </c>
      <c r="BM67" s="18">
        <f t="shared" ref="BM67:CJ67" si="196">BM35-BM51</f>
        <v>0</v>
      </c>
      <c r="BN67" s="18">
        <f t="shared" si="196"/>
        <v>0</v>
      </c>
      <c r="BO67" s="18">
        <f t="shared" si="196"/>
        <v>0</v>
      </c>
      <c r="BP67" s="18">
        <f t="shared" si="196"/>
        <v>0</v>
      </c>
      <c r="BQ67" s="18">
        <f t="shared" si="196"/>
        <v>0</v>
      </c>
      <c r="BR67" s="18">
        <f t="shared" si="196"/>
        <v>0</v>
      </c>
      <c r="BS67" s="18">
        <f t="shared" si="196"/>
        <v>0</v>
      </c>
      <c r="BT67" s="18">
        <f t="shared" si="196"/>
        <v>0</v>
      </c>
      <c r="BU67" s="18">
        <f t="shared" si="196"/>
        <v>0</v>
      </c>
      <c r="BV67" s="18">
        <f t="shared" si="196"/>
        <v>0</v>
      </c>
      <c r="BW67" s="18">
        <f t="shared" si="196"/>
        <v>0</v>
      </c>
      <c r="BX67" s="18">
        <f t="shared" si="196"/>
        <v>0</v>
      </c>
      <c r="BY67" s="18">
        <f t="shared" si="196"/>
        <v>0</v>
      </c>
      <c r="BZ67" s="18">
        <f t="shared" si="196"/>
        <v>0</v>
      </c>
      <c r="CA67" s="18">
        <f t="shared" si="196"/>
        <v>0</v>
      </c>
      <c r="CB67" s="18">
        <f t="shared" si="196"/>
        <v>0</v>
      </c>
      <c r="CC67" s="18">
        <f t="shared" si="196"/>
        <v>0</v>
      </c>
      <c r="CD67" s="18">
        <f t="shared" si="196"/>
        <v>0</v>
      </c>
      <c r="CE67" s="18">
        <f t="shared" si="196"/>
        <v>0</v>
      </c>
      <c r="CF67" s="18">
        <f t="shared" si="196"/>
        <v>0</v>
      </c>
      <c r="CG67" s="18">
        <f t="shared" si="196"/>
        <v>0</v>
      </c>
      <c r="CH67" s="18">
        <f t="shared" si="196"/>
        <v>0</v>
      </c>
      <c r="CI67" s="18">
        <f t="shared" si="196"/>
        <v>0</v>
      </c>
      <c r="CJ67" s="18">
        <f t="shared" si="196"/>
        <v>0</v>
      </c>
      <c r="CK67" s="18">
        <v>31</v>
      </c>
      <c r="CL67" s="18">
        <f t="shared" si="180"/>
        <v>0</v>
      </c>
      <c r="CM67" s="18">
        <f t="shared" si="181"/>
        <v>0</v>
      </c>
      <c r="CN67" s="18">
        <f t="shared" si="175"/>
        <v>0</v>
      </c>
    </row>
    <row r="68" spans="1:92" x14ac:dyDescent="0.25">
      <c r="A68" s="122">
        <v>4.2</v>
      </c>
      <c r="B68" s="114">
        <v>3.7</v>
      </c>
      <c r="C68" s="114">
        <v>3.2</v>
      </c>
      <c r="D68" s="114">
        <v>3.2</v>
      </c>
      <c r="E68" s="114">
        <v>3.9</v>
      </c>
      <c r="F68" s="114">
        <v>3.8</v>
      </c>
      <c r="G68" s="114">
        <v>3.2</v>
      </c>
      <c r="H68" s="3" t="s">
        <v>3</v>
      </c>
      <c r="I68" s="3">
        <v>4</v>
      </c>
      <c r="J68" s="3">
        <v>3.2</v>
      </c>
      <c r="K68" s="3">
        <v>4</v>
      </c>
      <c r="L68" s="3">
        <v>3.8</v>
      </c>
      <c r="M68" s="3">
        <v>3.9</v>
      </c>
      <c r="N68" s="3">
        <v>1</v>
      </c>
      <c r="O68" s="3">
        <v>1.25</v>
      </c>
      <c r="P68" s="3">
        <v>1.1874999999999998</v>
      </c>
      <c r="Q68" s="3">
        <f t="shared" si="185"/>
        <v>1.21875</v>
      </c>
      <c r="R68" s="3">
        <f t="shared" si="186"/>
        <v>1.3125</v>
      </c>
      <c r="S68" s="3">
        <f t="shared" si="187"/>
        <v>1.15625</v>
      </c>
      <c r="T68" s="3">
        <f t="shared" si="188"/>
        <v>1</v>
      </c>
      <c r="U68" s="3">
        <f t="shared" si="189"/>
        <v>1</v>
      </c>
      <c r="V68" s="3">
        <f t="shared" si="190"/>
        <v>1.21875</v>
      </c>
      <c r="W68" s="3">
        <f t="shared" si="191"/>
        <v>1.1874999999999998</v>
      </c>
      <c r="X68" s="3">
        <f t="shared" si="192"/>
        <v>1</v>
      </c>
      <c r="AF68" s="18" t="s">
        <v>5</v>
      </c>
      <c r="AG68" s="17">
        <v>6</v>
      </c>
      <c r="AH68" s="18">
        <f t="shared" ref="AH68:BE68" si="197">MAX(AH20,0)</f>
        <v>1495.8969203969668</v>
      </c>
      <c r="AI68" s="18">
        <f t="shared" si="197"/>
        <v>1470.6462391325658</v>
      </c>
      <c r="AJ68" s="18">
        <f t="shared" si="197"/>
        <v>1429.0923435111608</v>
      </c>
      <c r="AK68" s="18">
        <f t="shared" si="197"/>
        <v>1426.1378252556647</v>
      </c>
      <c r="AL68" s="18">
        <f t="shared" si="197"/>
        <v>1446.4485856466138</v>
      </c>
      <c r="AM68" s="18">
        <f t="shared" si="197"/>
        <v>1569.0783726926379</v>
      </c>
      <c r="AN68" s="18">
        <f t="shared" si="197"/>
        <v>1732.4498616953892</v>
      </c>
      <c r="AO68" s="18">
        <f t="shared" si="197"/>
        <v>1387.7034465507502</v>
      </c>
      <c r="AP68" s="18">
        <f t="shared" si="197"/>
        <v>845.41460520938085</v>
      </c>
      <c r="AQ68" s="18">
        <f t="shared" si="197"/>
        <v>89.03844909563702</v>
      </c>
      <c r="AR68" s="18">
        <f t="shared" si="197"/>
        <v>0</v>
      </c>
      <c r="AS68" s="18">
        <f t="shared" si="197"/>
        <v>0</v>
      </c>
      <c r="AT68" s="18">
        <f t="shared" si="197"/>
        <v>0</v>
      </c>
      <c r="AU68" s="18">
        <f t="shared" si="197"/>
        <v>0</v>
      </c>
      <c r="AV68" s="18">
        <f t="shared" si="197"/>
        <v>0</v>
      </c>
      <c r="AW68" s="18">
        <f t="shared" si="197"/>
        <v>0</v>
      </c>
      <c r="AX68" s="18">
        <f t="shared" si="197"/>
        <v>0</v>
      </c>
      <c r="AY68" s="18">
        <f t="shared" si="197"/>
        <v>1745.8038092386905</v>
      </c>
      <c r="AZ68" s="18">
        <f t="shared" si="197"/>
        <v>2266.4498208875402</v>
      </c>
      <c r="BA68" s="18">
        <f t="shared" si="197"/>
        <v>2301.1942547194435</v>
      </c>
      <c r="BB68" s="18">
        <f t="shared" si="197"/>
        <v>2154.3290371056332</v>
      </c>
      <c r="BC68" s="18">
        <f t="shared" si="197"/>
        <v>1791.9867707323365</v>
      </c>
      <c r="BD68" s="18">
        <f t="shared" si="197"/>
        <v>1636.1034003216805</v>
      </c>
      <c r="BE68" s="18">
        <f t="shared" si="197"/>
        <v>1526.696028793089</v>
      </c>
      <c r="BF68" s="18">
        <v>30</v>
      </c>
      <c r="BG68" s="18">
        <f t="shared" si="177"/>
        <v>304671.93415416632</v>
      </c>
      <c r="BH68" s="18">
        <f t="shared" si="178"/>
        <v>484762.15897538903</v>
      </c>
      <c r="BI68" s="18">
        <f t="shared" si="173"/>
        <v>789434.09312955535</v>
      </c>
      <c r="BK68" s="18" t="s">
        <v>5</v>
      </c>
      <c r="BL68" s="17">
        <v>6</v>
      </c>
      <c r="BM68" s="18">
        <f t="shared" ref="BM68:CJ68" si="198">BM36-BM52</f>
        <v>0</v>
      </c>
      <c r="BN68" s="18">
        <f t="shared" si="198"/>
        <v>0</v>
      </c>
      <c r="BO68" s="18">
        <f t="shared" si="198"/>
        <v>0</v>
      </c>
      <c r="BP68" s="18">
        <f t="shared" si="198"/>
        <v>0</v>
      </c>
      <c r="BQ68" s="18">
        <f t="shared" si="198"/>
        <v>0</v>
      </c>
      <c r="BR68" s="18">
        <f t="shared" si="198"/>
        <v>0</v>
      </c>
      <c r="BS68" s="18">
        <f t="shared" si="198"/>
        <v>0</v>
      </c>
      <c r="BT68" s="18">
        <f t="shared" si="198"/>
        <v>0</v>
      </c>
      <c r="BU68" s="18">
        <f t="shared" si="198"/>
        <v>0</v>
      </c>
      <c r="BV68" s="18">
        <f t="shared" si="198"/>
        <v>0</v>
      </c>
      <c r="BW68" s="18">
        <f t="shared" si="198"/>
        <v>0</v>
      </c>
      <c r="BX68" s="18">
        <f t="shared" si="198"/>
        <v>0</v>
      </c>
      <c r="BY68" s="18">
        <f t="shared" si="198"/>
        <v>0</v>
      </c>
      <c r="BZ68" s="18">
        <f t="shared" si="198"/>
        <v>0</v>
      </c>
      <c r="CA68" s="18">
        <f t="shared" si="198"/>
        <v>0</v>
      </c>
      <c r="CB68" s="18">
        <f t="shared" si="198"/>
        <v>0</v>
      </c>
      <c r="CC68" s="18">
        <f t="shared" si="198"/>
        <v>0</v>
      </c>
      <c r="CD68" s="18">
        <f t="shared" si="198"/>
        <v>0</v>
      </c>
      <c r="CE68" s="18">
        <f t="shared" si="198"/>
        <v>0</v>
      </c>
      <c r="CF68" s="18">
        <f t="shared" si="198"/>
        <v>0</v>
      </c>
      <c r="CG68" s="18">
        <f t="shared" si="198"/>
        <v>0</v>
      </c>
      <c r="CH68" s="18">
        <f t="shared" si="198"/>
        <v>0</v>
      </c>
      <c r="CI68" s="18">
        <f t="shared" si="198"/>
        <v>0</v>
      </c>
      <c r="CJ68" s="18">
        <f t="shared" si="198"/>
        <v>0</v>
      </c>
      <c r="CK68" s="18">
        <v>30</v>
      </c>
      <c r="CL68" s="18">
        <f t="shared" si="180"/>
        <v>0</v>
      </c>
      <c r="CM68" s="18">
        <f t="shared" si="181"/>
        <v>0</v>
      </c>
      <c r="CN68" s="18">
        <f t="shared" si="175"/>
        <v>0</v>
      </c>
    </row>
    <row r="69" spans="1:92" x14ac:dyDescent="0.25">
      <c r="A69" s="122">
        <v>3</v>
      </c>
      <c r="B69" s="114">
        <v>2.5</v>
      </c>
      <c r="C69" s="114">
        <v>2.1</v>
      </c>
      <c r="D69" s="114">
        <v>2.1</v>
      </c>
      <c r="E69" s="114">
        <v>2.8</v>
      </c>
      <c r="F69" s="114">
        <v>2.6</v>
      </c>
      <c r="G69" s="114">
        <v>2.2999999999999998</v>
      </c>
      <c r="H69" s="3" t="s">
        <v>4</v>
      </c>
      <c r="I69" s="3">
        <v>5</v>
      </c>
      <c r="J69" s="3">
        <v>2.1</v>
      </c>
      <c r="K69" s="3">
        <v>2.8</v>
      </c>
      <c r="L69" s="3">
        <v>2.6</v>
      </c>
      <c r="M69" s="3">
        <v>2.7</v>
      </c>
      <c r="N69" s="3">
        <v>1</v>
      </c>
      <c r="O69" s="3">
        <v>1.3333333333333333</v>
      </c>
      <c r="P69" s="3">
        <v>1.2380952380952381</v>
      </c>
      <c r="Q69" s="3">
        <f t="shared" si="185"/>
        <v>1.2857142857142858</v>
      </c>
      <c r="R69" s="3">
        <f t="shared" si="186"/>
        <v>1.4285714285714286</v>
      </c>
      <c r="S69" s="3">
        <f t="shared" si="187"/>
        <v>1.1904761904761905</v>
      </c>
      <c r="T69" s="3">
        <f t="shared" si="188"/>
        <v>1</v>
      </c>
      <c r="U69" s="3">
        <f t="shared" si="189"/>
        <v>1</v>
      </c>
      <c r="V69" s="3">
        <f t="shared" si="190"/>
        <v>1.3333333333333333</v>
      </c>
      <c r="W69" s="3">
        <f t="shared" si="191"/>
        <v>1.2380952380952381</v>
      </c>
      <c r="X69" s="3">
        <f t="shared" si="192"/>
        <v>1.0952380952380951</v>
      </c>
      <c r="AF69" s="18" t="s">
        <v>6</v>
      </c>
      <c r="AG69" s="17">
        <v>7</v>
      </c>
      <c r="AH69" s="18">
        <f t="shared" ref="AH69:BE69" si="199">MAX(AH21,0)</f>
        <v>1473.1255029168574</v>
      </c>
      <c r="AI69" s="18">
        <f t="shared" si="199"/>
        <v>1463.561046663945</v>
      </c>
      <c r="AJ69" s="18">
        <f t="shared" si="199"/>
        <v>1420.1292769660429</v>
      </c>
      <c r="AK69" s="18">
        <f t="shared" si="199"/>
        <v>1415.9054873735836</v>
      </c>
      <c r="AL69" s="18">
        <f t="shared" si="199"/>
        <v>1436.8777741007443</v>
      </c>
      <c r="AM69" s="18">
        <f t="shared" si="199"/>
        <v>1555.3515444052132</v>
      </c>
      <c r="AN69" s="18">
        <f t="shared" si="199"/>
        <v>1713.6153900902586</v>
      </c>
      <c r="AO69" s="18">
        <f t="shared" si="199"/>
        <v>1350.3532225641318</v>
      </c>
      <c r="AP69" s="18">
        <f t="shared" si="199"/>
        <v>806.44047804323895</v>
      </c>
      <c r="AQ69" s="18">
        <f t="shared" si="199"/>
        <v>0</v>
      </c>
      <c r="AR69" s="18">
        <f t="shared" si="199"/>
        <v>0</v>
      </c>
      <c r="AS69" s="18">
        <f t="shared" si="199"/>
        <v>0</v>
      </c>
      <c r="AT69" s="18">
        <f t="shared" si="199"/>
        <v>0</v>
      </c>
      <c r="AU69" s="18">
        <f t="shared" si="199"/>
        <v>0</v>
      </c>
      <c r="AV69" s="18">
        <f t="shared" si="199"/>
        <v>0</v>
      </c>
      <c r="AW69" s="18">
        <f t="shared" si="199"/>
        <v>0</v>
      </c>
      <c r="AX69" s="18">
        <f t="shared" si="199"/>
        <v>0</v>
      </c>
      <c r="AY69" s="18">
        <f t="shared" si="199"/>
        <v>1500.682637257944</v>
      </c>
      <c r="AZ69" s="18">
        <f t="shared" si="199"/>
        <v>2315.2045351805664</v>
      </c>
      <c r="BA69" s="18">
        <f t="shared" si="199"/>
        <v>2304.9006900844247</v>
      </c>
      <c r="BB69" s="18">
        <f t="shared" si="199"/>
        <v>1970.2405812577181</v>
      </c>
      <c r="BC69" s="18">
        <f t="shared" si="199"/>
        <v>1697.4654569416284</v>
      </c>
      <c r="BD69" s="18">
        <f t="shared" si="199"/>
        <v>1583.9976938042623</v>
      </c>
      <c r="BE69" s="18">
        <f t="shared" si="199"/>
        <v>1501.570408079474</v>
      </c>
      <c r="BF69" s="18">
        <v>31</v>
      </c>
      <c r="BG69" s="18">
        <f t="shared" si="177"/>
        <v>299577.03153510811</v>
      </c>
      <c r="BH69" s="18">
        <f t="shared" si="178"/>
        <v>491215.0419625229</v>
      </c>
      <c r="BI69" s="18">
        <f t="shared" si="173"/>
        <v>790792.07349763101</v>
      </c>
      <c r="BK69" s="18" t="s">
        <v>6</v>
      </c>
      <c r="BL69" s="17">
        <v>7</v>
      </c>
      <c r="BM69" s="18">
        <f t="shared" ref="BM69:CJ69" si="200">BM37-BM53</f>
        <v>0</v>
      </c>
      <c r="BN69" s="18">
        <f t="shared" si="200"/>
        <v>0</v>
      </c>
      <c r="BO69" s="18">
        <f t="shared" si="200"/>
        <v>0</v>
      </c>
      <c r="BP69" s="18">
        <f t="shared" si="200"/>
        <v>0</v>
      </c>
      <c r="BQ69" s="18">
        <f t="shared" si="200"/>
        <v>0</v>
      </c>
      <c r="BR69" s="18">
        <f t="shared" si="200"/>
        <v>0</v>
      </c>
      <c r="BS69" s="18">
        <f t="shared" si="200"/>
        <v>0</v>
      </c>
      <c r="BT69" s="18">
        <f t="shared" si="200"/>
        <v>0</v>
      </c>
      <c r="BU69" s="18">
        <f t="shared" si="200"/>
        <v>0</v>
      </c>
      <c r="BV69" s="18">
        <f t="shared" si="200"/>
        <v>0</v>
      </c>
      <c r="BW69" s="18">
        <f t="shared" si="200"/>
        <v>0</v>
      </c>
      <c r="BX69" s="18">
        <f t="shared" si="200"/>
        <v>0</v>
      </c>
      <c r="BY69" s="18">
        <f t="shared" si="200"/>
        <v>0</v>
      </c>
      <c r="BZ69" s="18">
        <f t="shared" si="200"/>
        <v>0</v>
      </c>
      <c r="CA69" s="18">
        <f t="shared" si="200"/>
        <v>0</v>
      </c>
      <c r="CB69" s="18">
        <f t="shared" si="200"/>
        <v>0</v>
      </c>
      <c r="CC69" s="18">
        <f t="shared" si="200"/>
        <v>0</v>
      </c>
      <c r="CD69" s="18">
        <f t="shared" si="200"/>
        <v>0</v>
      </c>
      <c r="CE69" s="18">
        <f t="shared" si="200"/>
        <v>0</v>
      </c>
      <c r="CF69" s="18">
        <f t="shared" si="200"/>
        <v>0</v>
      </c>
      <c r="CG69" s="18">
        <f t="shared" si="200"/>
        <v>0</v>
      </c>
      <c r="CH69" s="18">
        <f t="shared" si="200"/>
        <v>0</v>
      </c>
      <c r="CI69" s="18">
        <f t="shared" si="200"/>
        <v>0</v>
      </c>
      <c r="CJ69" s="18">
        <f t="shared" si="200"/>
        <v>0</v>
      </c>
      <c r="CK69" s="18">
        <v>31</v>
      </c>
      <c r="CL69" s="18">
        <f t="shared" si="180"/>
        <v>0</v>
      </c>
      <c r="CM69" s="18">
        <f t="shared" si="181"/>
        <v>0</v>
      </c>
      <c r="CN69" s="18">
        <f t="shared" si="175"/>
        <v>0</v>
      </c>
    </row>
    <row r="70" spans="1:92" x14ac:dyDescent="0.25">
      <c r="A70" s="122">
        <v>2.4</v>
      </c>
      <c r="B70" s="114">
        <v>2</v>
      </c>
      <c r="C70" s="114">
        <v>1.6</v>
      </c>
      <c r="D70" s="114">
        <v>1.7</v>
      </c>
      <c r="E70" s="114">
        <v>2.1</v>
      </c>
      <c r="F70" s="114">
        <v>1.9</v>
      </c>
      <c r="G70" s="114">
        <v>1.8</v>
      </c>
      <c r="H70" s="3" t="s">
        <v>5</v>
      </c>
      <c r="I70" s="3">
        <v>6</v>
      </c>
      <c r="J70" s="3">
        <v>1.7</v>
      </c>
      <c r="K70" s="3">
        <v>2.2999999999999998</v>
      </c>
      <c r="L70" s="3">
        <v>2</v>
      </c>
      <c r="M70" s="3">
        <v>2.1</v>
      </c>
      <c r="N70" s="3">
        <v>1</v>
      </c>
      <c r="O70" s="3">
        <v>1.3529411764705881</v>
      </c>
      <c r="P70" s="3">
        <v>1.1764705882352942</v>
      </c>
      <c r="Q70" s="3">
        <f t="shared" si="185"/>
        <v>1.2352941176470589</v>
      </c>
      <c r="R70" s="3">
        <f t="shared" si="186"/>
        <v>1.411764705882353</v>
      </c>
      <c r="S70" s="3">
        <f t="shared" si="187"/>
        <v>1.1764705882352942</v>
      </c>
      <c r="T70" s="3">
        <f t="shared" si="188"/>
        <v>0.94117647058823539</v>
      </c>
      <c r="U70" s="3">
        <f t="shared" si="189"/>
        <v>1</v>
      </c>
      <c r="V70" s="3">
        <f t="shared" si="190"/>
        <v>1.2352941176470589</v>
      </c>
      <c r="W70" s="3">
        <f t="shared" si="191"/>
        <v>1.1176470588235294</v>
      </c>
      <c r="X70" s="3">
        <f t="shared" si="192"/>
        <v>1.0588235294117647</v>
      </c>
      <c r="AF70" s="18" t="s">
        <v>7</v>
      </c>
      <c r="AG70" s="17">
        <v>8</v>
      </c>
      <c r="AH70" s="18">
        <f t="shared" ref="AH70:BE70" si="201">MAX(AH22,0)</f>
        <v>1475.1362435692504</v>
      </c>
      <c r="AI70" s="18">
        <f t="shared" si="201"/>
        <v>1461.5336739443576</v>
      </c>
      <c r="AJ70" s="18">
        <f t="shared" si="201"/>
        <v>1418.7643938746685</v>
      </c>
      <c r="AK70" s="18">
        <f t="shared" si="201"/>
        <v>1418.3844779379635</v>
      </c>
      <c r="AL70" s="18">
        <f t="shared" si="201"/>
        <v>1442.7804916251357</v>
      </c>
      <c r="AM70" s="18">
        <f t="shared" si="201"/>
        <v>1559.4497295094952</v>
      </c>
      <c r="AN70" s="18">
        <f t="shared" si="201"/>
        <v>1675.5758333967531</v>
      </c>
      <c r="AO70" s="18">
        <f t="shared" si="201"/>
        <v>962.20979964041601</v>
      </c>
      <c r="AP70" s="18">
        <f t="shared" si="201"/>
        <v>535.10793134755443</v>
      </c>
      <c r="AQ70" s="18">
        <f t="shared" si="201"/>
        <v>0</v>
      </c>
      <c r="AR70" s="18">
        <f t="shared" si="201"/>
        <v>0</v>
      </c>
      <c r="AS70" s="18">
        <f t="shared" si="201"/>
        <v>0</v>
      </c>
      <c r="AT70" s="18">
        <f t="shared" si="201"/>
        <v>0</v>
      </c>
      <c r="AU70" s="18">
        <f t="shared" si="201"/>
        <v>0</v>
      </c>
      <c r="AV70" s="18">
        <f t="shared" si="201"/>
        <v>0</v>
      </c>
      <c r="AW70" s="18">
        <f t="shared" si="201"/>
        <v>0</v>
      </c>
      <c r="AX70" s="18">
        <f t="shared" si="201"/>
        <v>0</v>
      </c>
      <c r="AY70" s="18">
        <f t="shared" si="201"/>
        <v>719.70020562504999</v>
      </c>
      <c r="AZ70" s="18">
        <f t="shared" si="201"/>
        <v>2232.1475721147167</v>
      </c>
      <c r="BA70" s="18">
        <f t="shared" si="201"/>
        <v>2300.1741504938718</v>
      </c>
      <c r="BB70" s="18">
        <f t="shared" si="201"/>
        <v>2005.8531793098759</v>
      </c>
      <c r="BC70" s="18">
        <f t="shared" si="201"/>
        <v>1680.5647273099441</v>
      </c>
      <c r="BD70" s="18">
        <f t="shared" si="201"/>
        <v>1588.2605529679106</v>
      </c>
      <c r="BE70" s="18">
        <f t="shared" si="201"/>
        <v>1500.5652439318847</v>
      </c>
      <c r="BF70" s="18">
        <v>31</v>
      </c>
      <c r="BG70" s="18">
        <f t="shared" si="177"/>
        <v>266246.11548792111</v>
      </c>
      <c r="BH70" s="18">
        <f t="shared" si="178"/>
        <v>477016.33891664312</v>
      </c>
      <c r="BI70" s="18">
        <f t="shared" si="173"/>
        <v>743262.45440456423</v>
      </c>
      <c r="BK70" s="18" t="s">
        <v>7</v>
      </c>
      <c r="BL70" s="17">
        <v>8</v>
      </c>
      <c r="BM70" s="18">
        <f t="shared" ref="BM70:CJ70" si="202">BM38-BM54</f>
        <v>0</v>
      </c>
      <c r="BN70" s="18">
        <f t="shared" si="202"/>
        <v>0</v>
      </c>
      <c r="BO70" s="18">
        <f t="shared" si="202"/>
        <v>0</v>
      </c>
      <c r="BP70" s="18">
        <f t="shared" si="202"/>
        <v>0</v>
      </c>
      <c r="BQ70" s="18">
        <f t="shared" si="202"/>
        <v>0</v>
      </c>
      <c r="BR70" s="18">
        <f t="shared" si="202"/>
        <v>0</v>
      </c>
      <c r="BS70" s="18">
        <f t="shared" si="202"/>
        <v>0</v>
      </c>
      <c r="BT70" s="18">
        <f t="shared" si="202"/>
        <v>0</v>
      </c>
      <c r="BU70" s="18">
        <f t="shared" si="202"/>
        <v>0</v>
      </c>
      <c r="BV70" s="18">
        <f t="shared" si="202"/>
        <v>0</v>
      </c>
      <c r="BW70" s="18">
        <f t="shared" si="202"/>
        <v>0</v>
      </c>
      <c r="BX70" s="18">
        <f t="shared" si="202"/>
        <v>0</v>
      </c>
      <c r="BY70" s="18">
        <f t="shared" si="202"/>
        <v>0</v>
      </c>
      <c r="BZ70" s="18">
        <f t="shared" si="202"/>
        <v>0</v>
      </c>
      <c r="CA70" s="18">
        <f t="shared" si="202"/>
        <v>0</v>
      </c>
      <c r="CB70" s="18">
        <f t="shared" si="202"/>
        <v>0</v>
      </c>
      <c r="CC70" s="18">
        <f t="shared" si="202"/>
        <v>0</v>
      </c>
      <c r="CD70" s="18">
        <f t="shared" si="202"/>
        <v>0</v>
      </c>
      <c r="CE70" s="18">
        <f t="shared" si="202"/>
        <v>0</v>
      </c>
      <c r="CF70" s="18">
        <f t="shared" si="202"/>
        <v>0</v>
      </c>
      <c r="CG70" s="18">
        <f t="shared" si="202"/>
        <v>0</v>
      </c>
      <c r="CH70" s="18">
        <f t="shared" si="202"/>
        <v>0</v>
      </c>
      <c r="CI70" s="18">
        <f t="shared" si="202"/>
        <v>0</v>
      </c>
      <c r="CJ70" s="18">
        <f t="shared" si="202"/>
        <v>0</v>
      </c>
      <c r="CK70" s="18">
        <v>31</v>
      </c>
      <c r="CL70" s="18">
        <f t="shared" si="180"/>
        <v>0</v>
      </c>
      <c r="CM70" s="18">
        <f t="shared" si="181"/>
        <v>0</v>
      </c>
      <c r="CN70" s="18">
        <f t="shared" si="175"/>
        <v>0</v>
      </c>
    </row>
    <row r="71" spans="1:92" x14ac:dyDescent="0.25">
      <c r="A71" s="122">
        <v>2.6</v>
      </c>
      <c r="B71" s="114">
        <v>2.1</v>
      </c>
      <c r="C71" s="114">
        <v>1.8</v>
      </c>
      <c r="D71" s="114">
        <v>1.9</v>
      </c>
      <c r="E71" s="114">
        <v>2.2999999999999998</v>
      </c>
      <c r="F71" s="114">
        <v>2.1</v>
      </c>
      <c r="G71" s="114">
        <v>2.1</v>
      </c>
      <c r="H71" s="3" t="s">
        <v>6</v>
      </c>
      <c r="I71" s="3">
        <v>7</v>
      </c>
      <c r="J71" s="3">
        <v>1.9</v>
      </c>
      <c r="K71" s="3">
        <v>2.4</v>
      </c>
      <c r="L71" s="3">
        <v>2.1</v>
      </c>
      <c r="M71" s="3">
        <v>2.2000000000000002</v>
      </c>
      <c r="N71" s="3">
        <v>1</v>
      </c>
      <c r="O71" s="3">
        <v>1.263157894736842</v>
      </c>
      <c r="P71" s="3">
        <v>1.1052631578947369</v>
      </c>
      <c r="Q71" s="3">
        <f t="shared" si="185"/>
        <v>1.1578947368421053</v>
      </c>
      <c r="R71" s="3">
        <f t="shared" si="186"/>
        <v>1.368421052631579</v>
      </c>
      <c r="S71" s="3">
        <f t="shared" si="187"/>
        <v>1.1052631578947369</v>
      </c>
      <c r="T71" s="3">
        <f t="shared" si="188"/>
        <v>0.94736842105263164</v>
      </c>
      <c r="U71" s="3">
        <f t="shared" si="189"/>
        <v>1</v>
      </c>
      <c r="V71" s="3">
        <f t="shared" si="190"/>
        <v>1.2105263157894737</v>
      </c>
      <c r="W71" s="3">
        <f t="shared" si="191"/>
        <v>1.1052631578947369</v>
      </c>
      <c r="X71" s="3">
        <f t="shared" si="192"/>
        <v>1.1052631578947369</v>
      </c>
      <c r="AF71" s="18" t="s">
        <v>8</v>
      </c>
      <c r="AG71" s="17">
        <v>9</v>
      </c>
      <c r="AH71" s="18">
        <f t="shared" ref="AH71:BE71" si="203">MAX(AH23,0)</f>
        <v>1467.9988706951333</v>
      </c>
      <c r="AI71" s="18">
        <f t="shared" si="203"/>
        <v>1441.9558403604269</v>
      </c>
      <c r="AJ71" s="18">
        <f t="shared" si="203"/>
        <v>1397.9322433144662</v>
      </c>
      <c r="AK71" s="18">
        <f t="shared" si="203"/>
        <v>1397.5599104096782</v>
      </c>
      <c r="AL71" s="18">
        <f t="shared" si="203"/>
        <v>1421.0678607144027</v>
      </c>
      <c r="AM71" s="18">
        <f t="shared" si="203"/>
        <v>1530.1032097276877</v>
      </c>
      <c r="AN71" s="18">
        <f t="shared" si="203"/>
        <v>1023.7041241963764</v>
      </c>
      <c r="AO71" s="18">
        <f t="shared" si="203"/>
        <v>627.10605292350181</v>
      </c>
      <c r="AP71" s="18">
        <f t="shared" si="203"/>
        <v>0</v>
      </c>
      <c r="AQ71" s="18">
        <f t="shared" si="203"/>
        <v>0</v>
      </c>
      <c r="AR71" s="18">
        <f t="shared" si="203"/>
        <v>0</v>
      </c>
      <c r="AS71" s="18">
        <f t="shared" si="203"/>
        <v>0</v>
      </c>
      <c r="AT71" s="18">
        <f t="shared" si="203"/>
        <v>0</v>
      </c>
      <c r="AU71" s="18">
        <f t="shared" si="203"/>
        <v>0</v>
      </c>
      <c r="AV71" s="18">
        <f t="shared" si="203"/>
        <v>0</v>
      </c>
      <c r="AW71" s="18">
        <f t="shared" si="203"/>
        <v>0</v>
      </c>
      <c r="AX71" s="18">
        <f t="shared" si="203"/>
        <v>0</v>
      </c>
      <c r="AY71" s="18">
        <f t="shared" si="203"/>
        <v>0</v>
      </c>
      <c r="AZ71" s="18">
        <f t="shared" si="203"/>
        <v>1583.7805570676019</v>
      </c>
      <c r="BA71" s="18">
        <f t="shared" si="203"/>
        <v>1922.5544281119842</v>
      </c>
      <c r="BB71" s="18">
        <f t="shared" si="203"/>
        <v>1814.4597241895262</v>
      </c>
      <c r="BC71" s="18">
        <f t="shared" si="203"/>
        <v>1589.5507883677537</v>
      </c>
      <c r="BD71" s="18">
        <f t="shared" si="203"/>
        <v>1515.8058390687295</v>
      </c>
      <c r="BE71" s="18">
        <f t="shared" si="203"/>
        <v>1492.3635927435166</v>
      </c>
      <c r="BF71" s="18">
        <v>30</v>
      </c>
      <c r="BG71" s="18">
        <f t="shared" si="177"/>
        <v>193998.37263705212</v>
      </c>
      <c r="BH71" s="18">
        <f t="shared" si="178"/>
        <v>412779.91861967149</v>
      </c>
      <c r="BI71" s="18">
        <f t="shared" si="173"/>
        <v>606778.29125672358</v>
      </c>
      <c r="BK71" s="18" t="s">
        <v>8</v>
      </c>
      <c r="BL71" s="17">
        <v>9</v>
      </c>
      <c r="BM71" s="18">
        <f t="shared" ref="BM71:CJ71" si="204">BM39-BM55</f>
        <v>0</v>
      </c>
      <c r="BN71" s="18">
        <f t="shared" si="204"/>
        <v>0</v>
      </c>
      <c r="BO71" s="18">
        <f t="shared" si="204"/>
        <v>0</v>
      </c>
      <c r="BP71" s="18">
        <f t="shared" si="204"/>
        <v>0</v>
      </c>
      <c r="BQ71" s="18">
        <f t="shared" si="204"/>
        <v>0</v>
      </c>
      <c r="BR71" s="18">
        <f t="shared" si="204"/>
        <v>0</v>
      </c>
      <c r="BS71" s="18">
        <f t="shared" si="204"/>
        <v>0</v>
      </c>
      <c r="BT71" s="18">
        <f t="shared" si="204"/>
        <v>0</v>
      </c>
      <c r="BU71" s="18">
        <f t="shared" si="204"/>
        <v>0</v>
      </c>
      <c r="BV71" s="18">
        <f t="shared" si="204"/>
        <v>0</v>
      </c>
      <c r="BW71" s="18">
        <f t="shared" si="204"/>
        <v>0</v>
      </c>
      <c r="BX71" s="18">
        <f t="shared" si="204"/>
        <v>0</v>
      </c>
      <c r="BY71" s="18">
        <f t="shared" si="204"/>
        <v>0</v>
      </c>
      <c r="BZ71" s="18">
        <f t="shared" si="204"/>
        <v>0</v>
      </c>
      <c r="CA71" s="18">
        <f t="shared" si="204"/>
        <v>0</v>
      </c>
      <c r="CB71" s="18">
        <f t="shared" si="204"/>
        <v>0</v>
      </c>
      <c r="CC71" s="18">
        <f t="shared" si="204"/>
        <v>0</v>
      </c>
      <c r="CD71" s="18">
        <f t="shared" si="204"/>
        <v>0</v>
      </c>
      <c r="CE71" s="18">
        <f t="shared" si="204"/>
        <v>0</v>
      </c>
      <c r="CF71" s="18">
        <f t="shared" si="204"/>
        <v>0</v>
      </c>
      <c r="CG71" s="18">
        <f t="shared" si="204"/>
        <v>0</v>
      </c>
      <c r="CH71" s="18">
        <f t="shared" si="204"/>
        <v>0</v>
      </c>
      <c r="CI71" s="18">
        <f t="shared" si="204"/>
        <v>0</v>
      </c>
      <c r="CJ71" s="18">
        <f t="shared" si="204"/>
        <v>0</v>
      </c>
      <c r="CK71" s="18">
        <v>30</v>
      </c>
      <c r="CL71" s="18">
        <f t="shared" si="180"/>
        <v>0</v>
      </c>
      <c r="CM71" s="18">
        <f t="shared" si="181"/>
        <v>0</v>
      </c>
      <c r="CN71" s="18">
        <f t="shared" si="175"/>
        <v>0</v>
      </c>
    </row>
    <row r="72" spans="1:92" x14ac:dyDescent="0.25">
      <c r="A72" s="122">
        <v>3.6</v>
      </c>
      <c r="B72" s="114">
        <v>3</v>
      </c>
      <c r="C72" s="114">
        <v>2.7</v>
      </c>
      <c r="D72" s="114">
        <v>2.8</v>
      </c>
      <c r="E72" s="114">
        <v>3.2</v>
      </c>
      <c r="F72" s="114">
        <v>3.1</v>
      </c>
      <c r="G72" s="114">
        <v>2.9</v>
      </c>
      <c r="H72" s="3" t="s">
        <v>7</v>
      </c>
      <c r="I72" s="3">
        <v>8</v>
      </c>
      <c r="J72" s="3">
        <v>2.7</v>
      </c>
      <c r="K72" s="3">
        <v>3.4</v>
      </c>
      <c r="L72" s="3">
        <v>3.1</v>
      </c>
      <c r="M72" s="3">
        <v>3.2</v>
      </c>
      <c r="N72" s="3">
        <v>1</v>
      </c>
      <c r="O72" s="3">
        <v>1.2592592592592591</v>
      </c>
      <c r="P72" s="3">
        <v>1.1481481481481481</v>
      </c>
      <c r="Q72" s="3">
        <f t="shared" si="185"/>
        <v>1.1851851851851851</v>
      </c>
      <c r="R72" s="3">
        <f t="shared" si="186"/>
        <v>1.3333333333333333</v>
      </c>
      <c r="S72" s="3">
        <f t="shared" si="187"/>
        <v>1.1111111111111109</v>
      </c>
      <c r="T72" s="3">
        <f t="shared" si="188"/>
        <v>1</v>
      </c>
      <c r="U72" s="3">
        <f t="shared" si="189"/>
        <v>1.037037037037037</v>
      </c>
      <c r="V72" s="3">
        <f t="shared" si="190"/>
        <v>1.1851851851851851</v>
      </c>
      <c r="W72" s="3">
        <f t="shared" si="191"/>
        <v>1.1481481481481481</v>
      </c>
      <c r="X72" s="3">
        <f t="shared" si="192"/>
        <v>1.074074074074074</v>
      </c>
      <c r="AF72" s="18" t="s">
        <v>9</v>
      </c>
      <c r="AG72" s="17">
        <v>10</v>
      </c>
      <c r="AH72" s="18">
        <f t="shared" ref="AH72:BE72" si="205">MAX(AH24,0)</f>
        <v>1467.4199702950368</v>
      </c>
      <c r="AI72" s="18">
        <f t="shared" si="205"/>
        <v>1428.5238461799449</v>
      </c>
      <c r="AJ72" s="18">
        <f t="shared" si="205"/>
        <v>1424.1487922659096</v>
      </c>
      <c r="AK72" s="18">
        <f t="shared" si="205"/>
        <v>1448.2442144077806</v>
      </c>
      <c r="AL72" s="18">
        <f t="shared" si="205"/>
        <v>1536.872615941121</v>
      </c>
      <c r="AM72" s="18">
        <f t="shared" si="205"/>
        <v>1240.834490487847</v>
      </c>
      <c r="AN72" s="18">
        <f t="shared" si="205"/>
        <v>721.15548792826394</v>
      </c>
      <c r="AO72" s="18">
        <f t="shared" si="205"/>
        <v>172.93228094686447</v>
      </c>
      <c r="AP72" s="18">
        <f t="shared" si="205"/>
        <v>0</v>
      </c>
      <c r="AQ72" s="18">
        <f t="shared" si="205"/>
        <v>0</v>
      </c>
      <c r="AR72" s="18">
        <f t="shared" si="205"/>
        <v>0</v>
      </c>
      <c r="AS72" s="18">
        <f t="shared" si="205"/>
        <v>0</v>
      </c>
      <c r="AT72" s="18">
        <f t="shared" si="205"/>
        <v>0</v>
      </c>
      <c r="AU72" s="18">
        <f t="shared" si="205"/>
        <v>0</v>
      </c>
      <c r="AV72" s="18">
        <f t="shared" si="205"/>
        <v>0</v>
      </c>
      <c r="AW72" s="18">
        <f t="shared" si="205"/>
        <v>0</v>
      </c>
      <c r="AX72" s="18">
        <f t="shared" si="205"/>
        <v>0</v>
      </c>
      <c r="AY72" s="18">
        <f t="shared" si="205"/>
        <v>0</v>
      </c>
      <c r="AZ72" s="18">
        <f t="shared" si="205"/>
        <v>1093.558420074188</v>
      </c>
      <c r="BA72" s="18">
        <f t="shared" si="205"/>
        <v>1890.3731685858925</v>
      </c>
      <c r="BB72" s="18">
        <f t="shared" si="205"/>
        <v>1676.5056613765598</v>
      </c>
      <c r="BC72" s="18">
        <f t="shared" si="205"/>
        <v>1537.4083608993969</v>
      </c>
      <c r="BD72" s="18">
        <f t="shared" si="205"/>
        <v>1516.8042639590735</v>
      </c>
      <c r="BE72" s="18">
        <f t="shared" si="205"/>
        <v>1499.7648285516054</v>
      </c>
      <c r="BF72" s="18">
        <v>31</v>
      </c>
      <c r="BG72" s="18">
        <f t="shared" si="177"/>
        <v>174653.60487935803</v>
      </c>
      <c r="BH72" s="18">
        <f t="shared" si="178"/>
        <v>403637.33357952599</v>
      </c>
      <c r="BI72" s="18">
        <f t="shared" si="173"/>
        <v>578290.93845888402</v>
      </c>
      <c r="BK72" s="18" t="s">
        <v>9</v>
      </c>
      <c r="BL72" s="17">
        <v>10</v>
      </c>
      <c r="BM72" s="18">
        <f t="shared" ref="BM72:CJ72" si="206">BM40-BM56</f>
        <v>0</v>
      </c>
      <c r="BN72" s="18">
        <f t="shared" si="206"/>
        <v>0</v>
      </c>
      <c r="BO72" s="18">
        <f t="shared" si="206"/>
        <v>0</v>
      </c>
      <c r="BP72" s="18">
        <f t="shared" si="206"/>
        <v>0</v>
      </c>
      <c r="BQ72" s="18">
        <f t="shared" si="206"/>
        <v>0</v>
      </c>
      <c r="BR72" s="18">
        <f t="shared" si="206"/>
        <v>0</v>
      </c>
      <c r="BS72" s="18">
        <f t="shared" si="206"/>
        <v>0</v>
      </c>
      <c r="BT72" s="18">
        <f t="shared" si="206"/>
        <v>0</v>
      </c>
      <c r="BU72" s="18">
        <f t="shared" si="206"/>
        <v>0</v>
      </c>
      <c r="BV72" s="18">
        <f t="shared" si="206"/>
        <v>0</v>
      </c>
      <c r="BW72" s="18">
        <f t="shared" si="206"/>
        <v>0</v>
      </c>
      <c r="BX72" s="18">
        <f t="shared" si="206"/>
        <v>0</v>
      </c>
      <c r="BY72" s="18">
        <f t="shared" si="206"/>
        <v>0</v>
      </c>
      <c r="BZ72" s="18">
        <f t="shared" si="206"/>
        <v>0</v>
      </c>
      <c r="CA72" s="18">
        <f t="shared" si="206"/>
        <v>0</v>
      </c>
      <c r="CB72" s="18">
        <f t="shared" si="206"/>
        <v>0</v>
      </c>
      <c r="CC72" s="18">
        <f t="shared" si="206"/>
        <v>0</v>
      </c>
      <c r="CD72" s="18">
        <f t="shared" si="206"/>
        <v>0</v>
      </c>
      <c r="CE72" s="18">
        <f t="shared" si="206"/>
        <v>0</v>
      </c>
      <c r="CF72" s="18">
        <f t="shared" si="206"/>
        <v>0</v>
      </c>
      <c r="CG72" s="18">
        <f t="shared" si="206"/>
        <v>0</v>
      </c>
      <c r="CH72" s="18">
        <f t="shared" si="206"/>
        <v>0</v>
      </c>
      <c r="CI72" s="18">
        <f t="shared" si="206"/>
        <v>0</v>
      </c>
      <c r="CJ72" s="18">
        <f t="shared" si="206"/>
        <v>0</v>
      </c>
      <c r="CK72" s="18">
        <v>31</v>
      </c>
      <c r="CL72" s="18">
        <f t="shared" si="180"/>
        <v>0</v>
      </c>
      <c r="CM72" s="18">
        <f t="shared" si="181"/>
        <v>0</v>
      </c>
      <c r="CN72" s="18">
        <f t="shared" si="175"/>
        <v>0</v>
      </c>
    </row>
    <row r="73" spans="1:92" x14ac:dyDescent="0.25">
      <c r="A73" s="122">
        <v>4.8</v>
      </c>
      <c r="B73" s="114">
        <v>4.0999999999999996</v>
      </c>
      <c r="C73" s="114">
        <v>3.7</v>
      </c>
      <c r="D73" s="114">
        <v>3.8</v>
      </c>
      <c r="E73" s="114">
        <v>4.4000000000000004</v>
      </c>
      <c r="F73" s="114">
        <v>4.3</v>
      </c>
      <c r="G73" s="114">
        <v>3.9</v>
      </c>
      <c r="H73" s="3" t="s">
        <v>8</v>
      </c>
      <c r="I73" s="3">
        <v>9</v>
      </c>
      <c r="J73" s="3">
        <v>3.7</v>
      </c>
      <c r="K73" s="3">
        <v>4.5999999999999996</v>
      </c>
      <c r="L73" s="3">
        <v>4.3</v>
      </c>
      <c r="M73" s="3">
        <v>4.3</v>
      </c>
      <c r="N73" s="3">
        <v>1</v>
      </c>
      <c r="O73" s="3">
        <v>1.243243243243243</v>
      </c>
      <c r="P73" s="3">
        <v>1.1621621621621621</v>
      </c>
      <c r="Q73" s="3">
        <f t="shared" si="185"/>
        <v>1.1621621621621621</v>
      </c>
      <c r="R73" s="3">
        <f t="shared" si="186"/>
        <v>1.2972972972972971</v>
      </c>
      <c r="S73" s="3">
        <f t="shared" si="187"/>
        <v>1.1081081081081079</v>
      </c>
      <c r="T73" s="3">
        <f t="shared" si="188"/>
        <v>1</v>
      </c>
      <c r="U73" s="3">
        <f t="shared" si="189"/>
        <v>1.027027027027027</v>
      </c>
      <c r="V73" s="3">
        <f t="shared" si="190"/>
        <v>1.1891891891891893</v>
      </c>
      <c r="W73" s="3">
        <f t="shared" si="191"/>
        <v>1.1621621621621621</v>
      </c>
      <c r="X73" s="3">
        <f t="shared" si="192"/>
        <v>1.0540540540540539</v>
      </c>
      <c r="AF73" s="18" t="s">
        <v>10</v>
      </c>
      <c r="AG73" s="17">
        <v>11</v>
      </c>
      <c r="AH73" s="18">
        <f t="shared" ref="AH73:BE73" si="207">MAX(AH25,0)</f>
        <v>1476.231964087712</v>
      </c>
      <c r="AI73" s="18">
        <f t="shared" si="207"/>
        <v>1433.1980758727072</v>
      </c>
      <c r="AJ73" s="18">
        <f t="shared" si="207"/>
        <v>1419.0237268741294</v>
      </c>
      <c r="AK73" s="18">
        <f t="shared" si="207"/>
        <v>1443.0965016356226</v>
      </c>
      <c r="AL73" s="18">
        <f t="shared" si="207"/>
        <v>1479.5263758145261</v>
      </c>
      <c r="AM73" s="18">
        <f t="shared" si="207"/>
        <v>748.08612007988779</v>
      </c>
      <c r="AN73" s="18">
        <f t="shared" si="207"/>
        <v>539.7478670452366</v>
      </c>
      <c r="AO73" s="18">
        <f t="shared" si="207"/>
        <v>0</v>
      </c>
      <c r="AP73" s="18">
        <f t="shared" si="207"/>
        <v>0</v>
      </c>
      <c r="AQ73" s="18">
        <f t="shared" si="207"/>
        <v>0</v>
      </c>
      <c r="AR73" s="18">
        <f t="shared" si="207"/>
        <v>0</v>
      </c>
      <c r="AS73" s="18">
        <f t="shared" si="207"/>
        <v>0</v>
      </c>
      <c r="AT73" s="18">
        <f t="shared" si="207"/>
        <v>0</v>
      </c>
      <c r="AU73" s="18">
        <f t="shared" si="207"/>
        <v>0</v>
      </c>
      <c r="AV73" s="18">
        <f t="shared" si="207"/>
        <v>0</v>
      </c>
      <c r="AW73" s="18">
        <f t="shared" si="207"/>
        <v>0</v>
      </c>
      <c r="AX73" s="18">
        <f t="shared" si="207"/>
        <v>0</v>
      </c>
      <c r="AY73" s="18">
        <f t="shared" si="207"/>
        <v>0</v>
      </c>
      <c r="AZ73" s="18">
        <f t="shared" si="207"/>
        <v>215.48330115269664</v>
      </c>
      <c r="BA73" s="18">
        <f t="shared" si="207"/>
        <v>1431.3364218173549</v>
      </c>
      <c r="BB73" s="18">
        <f t="shared" si="207"/>
        <v>1572.4732861174562</v>
      </c>
      <c r="BC73" s="18">
        <f t="shared" si="207"/>
        <v>1555.9543982670316</v>
      </c>
      <c r="BD73" s="18">
        <f t="shared" si="207"/>
        <v>1533.3470155633436</v>
      </c>
      <c r="BE73" s="18">
        <f t="shared" si="207"/>
        <v>1512.7691095821224</v>
      </c>
      <c r="BF73" s="18">
        <v>30</v>
      </c>
      <c r="BG73" s="18">
        <f t="shared" si="177"/>
        <v>135184.16620538323</v>
      </c>
      <c r="BH73" s="18">
        <f t="shared" si="178"/>
        <v>355624.05871191167</v>
      </c>
      <c r="BI73" s="18">
        <f t="shared" si="173"/>
        <v>490808.22491729487</v>
      </c>
      <c r="BK73" s="18" t="s">
        <v>10</v>
      </c>
      <c r="BL73" s="17">
        <v>11</v>
      </c>
      <c r="BM73" s="18">
        <f t="shared" ref="BM73:CJ73" si="208">BM41-BM57</f>
        <v>0</v>
      </c>
      <c r="BN73" s="18">
        <f t="shared" si="208"/>
        <v>0</v>
      </c>
      <c r="BO73" s="18">
        <f t="shared" si="208"/>
        <v>0</v>
      </c>
      <c r="BP73" s="18">
        <f t="shared" si="208"/>
        <v>0</v>
      </c>
      <c r="BQ73" s="18">
        <f t="shared" si="208"/>
        <v>0</v>
      </c>
      <c r="BR73" s="18">
        <f t="shared" si="208"/>
        <v>0</v>
      </c>
      <c r="BS73" s="18">
        <f t="shared" si="208"/>
        <v>0</v>
      </c>
      <c r="BT73" s="18">
        <f t="shared" si="208"/>
        <v>0</v>
      </c>
      <c r="BU73" s="18">
        <f t="shared" si="208"/>
        <v>0</v>
      </c>
      <c r="BV73" s="18">
        <f t="shared" si="208"/>
        <v>0</v>
      </c>
      <c r="BW73" s="18">
        <f t="shared" si="208"/>
        <v>0</v>
      </c>
      <c r="BX73" s="18">
        <f t="shared" si="208"/>
        <v>0</v>
      </c>
      <c r="BY73" s="18">
        <f t="shared" si="208"/>
        <v>0</v>
      </c>
      <c r="BZ73" s="18">
        <f t="shared" si="208"/>
        <v>0</v>
      </c>
      <c r="CA73" s="18">
        <f t="shared" si="208"/>
        <v>0</v>
      </c>
      <c r="CB73" s="18">
        <f t="shared" si="208"/>
        <v>0</v>
      </c>
      <c r="CC73" s="18">
        <f t="shared" si="208"/>
        <v>0</v>
      </c>
      <c r="CD73" s="18">
        <f t="shared" si="208"/>
        <v>0</v>
      </c>
      <c r="CE73" s="18">
        <f t="shared" si="208"/>
        <v>0</v>
      </c>
      <c r="CF73" s="18">
        <f t="shared" si="208"/>
        <v>0</v>
      </c>
      <c r="CG73" s="18">
        <f t="shared" si="208"/>
        <v>0</v>
      </c>
      <c r="CH73" s="18">
        <f t="shared" si="208"/>
        <v>0</v>
      </c>
      <c r="CI73" s="18">
        <f t="shared" si="208"/>
        <v>0</v>
      </c>
      <c r="CJ73" s="18">
        <f t="shared" si="208"/>
        <v>0</v>
      </c>
      <c r="CK73" s="18">
        <v>30</v>
      </c>
      <c r="CL73" s="18">
        <f t="shared" si="180"/>
        <v>0</v>
      </c>
      <c r="CM73" s="18">
        <f t="shared" si="181"/>
        <v>0</v>
      </c>
      <c r="CN73" s="18">
        <f t="shared" si="175"/>
        <v>0</v>
      </c>
    </row>
    <row r="74" spans="1:92" x14ac:dyDescent="0.25">
      <c r="A74" s="122">
        <v>6.2</v>
      </c>
      <c r="B74" s="114">
        <v>5.5</v>
      </c>
      <c r="C74" s="114">
        <v>5.0999999999999996</v>
      </c>
      <c r="D74" s="114">
        <v>5.0999999999999996</v>
      </c>
      <c r="E74" s="114">
        <v>5.9</v>
      </c>
      <c r="F74" s="114">
        <v>5.8</v>
      </c>
      <c r="G74" s="114">
        <v>5.2</v>
      </c>
      <c r="H74" s="3" t="s">
        <v>9</v>
      </c>
      <c r="I74" s="3">
        <v>10</v>
      </c>
      <c r="J74" s="3">
        <v>5</v>
      </c>
      <c r="K74" s="3">
        <v>6</v>
      </c>
      <c r="L74" s="3">
        <v>5.8</v>
      </c>
      <c r="M74" s="3">
        <v>5.9</v>
      </c>
      <c r="N74" s="3">
        <v>1</v>
      </c>
      <c r="O74" s="3">
        <v>1.2</v>
      </c>
      <c r="P74" s="3">
        <v>1.1599999999999999</v>
      </c>
      <c r="Q74" s="3">
        <f t="shared" si="185"/>
        <v>1.1800000000000002</v>
      </c>
      <c r="R74" s="3">
        <f t="shared" si="186"/>
        <v>1.24</v>
      </c>
      <c r="S74" s="3">
        <f t="shared" si="187"/>
        <v>1.1000000000000001</v>
      </c>
      <c r="T74" s="3">
        <f t="shared" si="188"/>
        <v>1.02</v>
      </c>
      <c r="U74" s="3">
        <f t="shared" si="189"/>
        <v>1.02</v>
      </c>
      <c r="V74" s="3">
        <f t="shared" si="190"/>
        <v>1.1800000000000002</v>
      </c>
      <c r="W74" s="3">
        <f t="shared" si="191"/>
        <v>1.1599999999999999</v>
      </c>
      <c r="X74" s="3">
        <f t="shared" si="192"/>
        <v>1.04</v>
      </c>
      <c r="AF74" s="18" t="s">
        <v>11</v>
      </c>
      <c r="AG74" s="17">
        <v>12</v>
      </c>
      <c r="AH74" s="18">
        <f t="shared" ref="AH74:BE74" si="209">MAX(AH26,0)</f>
        <v>1491.1924207084592</v>
      </c>
      <c r="AI74" s="18">
        <f t="shared" si="209"/>
        <v>1454.8999735632397</v>
      </c>
      <c r="AJ74" s="18">
        <f t="shared" si="209"/>
        <v>1437.4974332724191</v>
      </c>
      <c r="AK74" s="18">
        <f t="shared" si="209"/>
        <v>1464.7114188029032</v>
      </c>
      <c r="AL74" s="18">
        <f t="shared" si="209"/>
        <v>1450.1823732742162</v>
      </c>
      <c r="AM74" s="18">
        <f t="shared" si="209"/>
        <v>719.75232701957623</v>
      </c>
      <c r="AN74" s="18">
        <f t="shared" si="209"/>
        <v>520.01840742540685</v>
      </c>
      <c r="AO74" s="18">
        <f t="shared" si="209"/>
        <v>0</v>
      </c>
      <c r="AP74" s="18">
        <f t="shared" si="209"/>
        <v>0</v>
      </c>
      <c r="AQ74" s="18">
        <f t="shared" si="209"/>
        <v>0</v>
      </c>
      <c r="AR74" s="18">
        <f t="shared" si="209"/>
        <v>0</v>
      </c>
      <c r="AS74" s="18">
        <f t="shared" si="209"/>
        <v>0</v>
      </c>
      <c r="AT74" s="18">
        <f t="shared" si="209"/>
        <v>0</v>
      </c>
      <c r="AU74" s="18">
        <f t="shared" si="209"/>
        <v>0</v>
      </c>
      <c r="AV74" s="18">
        <f t="shared" si="209"/>
        <v>0</v>
      </c>
      <c r="AW74" s="18">
        <f t="shared" si="209"/>
        <v>0</v>
      </c>
      <c r="AX74" s="18">
        <f t="shared" si="209"/>
        <v>0</v>
      </c>
      <c r="AY74" s="18">
        <f t="shared" si="209"/>
        <v>0</v>
      </c>
      <c r="AZ74" s="18">
        <f t="shared" si="209"/>
        <v>0</v>
      </c>
      <c r="BA74" s="18">
        <f t="shared" si="209"/>
        <v>895.18305818396584</v>
      </c>
      <c r="BB74" s="18">
        <f t="shared" si="209"/>
        <v>1556.5537979269102</v>
      </c>
      <c r="BC74" s="18">
        <f t="shared" si="209"/>
        <v>1561.7900545053781</v>
      </c>
      <c r="BD74" s="18">
        <f t="shared" si="209"/>
        <v>1541.8603986863441</v>
      </c>
      <c r="BE74" s="18">
        <f t="shared" si="209"/>
        <v>1523.4705144970321</v>
      </c>
      <c r="BF74" s="18">
        <v>31</v>
      </c>
      <c r="BG74" s="18">
        <f t="shared" si="177"/>
        <v>123012.14756312895</v>
      </c>
      <c r="BH74" s="18">
        <f t="shared" si="178"/>
        <v>361118.32995071233</v>
      </c>
      <c r="BI74" s="18">
        <f t="shared" si="173"/>
        <v>484130.4775138413</v>
      </c>
      <c r="BK74" s="18" t="s">
        <v>11</v>
      </c>
      <c r="BL74" s="17">
        <v>12</v>
      </c>
      <c r="BM74" s="18">
        <f t="shared" ref="BM74:CJ74" si="210">BM42-BM58</f>
        <v>0</v>
      </c>
      <c r="BN74" s="18">
        <f t="shared" si="210"/>
        <v>0</v>
      </c>
      <c r="BO74" s="18">
        <f t="shared" si="210"/>
        <v>0</v>
      </c>
      <c r="BP74" s="18">
        <f t="shared" si="210"/>
        <v>0</v>
      </c>
      <c r="BQ74" s="18">
        <f t="shared" si="210"/>
        <v>0</v>
      </c>
      <c r="BR74" s="18">
        <f t="shared" si="210"/>
        <v>0</v>
      </c>
      <c r="BS74" s="18">
        <f t="shared" si="210"/>
        <v>0</v>
      </c>
      <c r="BT74" s="18">
        <f t="shared" si="210"/>
        <v>0</v>
      </c>
      <c r="BU74" s="18">
        <f t="shared" si="210"/>
        <v>0</v>
      </c>
      <c r="BV74" s="18">
        <f t="shared" si="210"/>
        <v>0</v>
      </c>
      <c r="BW74" s="18">
        <f t="shared" si="210"/>
        <v>0</v>
      </c>
      <c r="BX74" s="18">
        <f t="shared" si="210"/>
        <v>0</v>
      </c>
      <c r="BY74" s="18">
        <f t="shared" si="210"/>
        <v>0</v>
      </c>
      <c r="BZ74" s="18">
        <f t="shared" si="210"/>
        <v>0</v>
      </c>
      <c r="CA74" s="18">
        <f t="shared" si="210"/>
        <v>0</v>
      </c>
      <c r="CB74" s="18">
        <f t="shared" si="210"/>
        <v>0</v>
      </c>
      <c r="CC74" s="18">
        <f t="shared" si="210"/>
        <v>0</v>
      </c>
      <c r="CD74" s="18">
        <f t="shared" si="210"/>
        <v>0</v>
      </c>
      <c r="CE74" s="18">
        <f t="shared" si="210"/>
        <v>0</v>
      </c>
      <c r="CF74" s="18">
        <f t="shared" si="210"/>
        <v>0</v>
      </c>
      <c r="CG74" s="18">
        <f t="shared" si="210"/>
        <v>0</v>
      </c>
      <c r="CH74" s="18">
        <f t="shared" si="210"/>
        <v>0</v>
      </c>
      <c r="CI74" s="18">
        <f t="shared" si="210"/>
        <v>0</v>
      </c>
      <c r="CJ74" s="18">
        <f t="shared" si="210"/>
        <v>0</v>
      </c>
      <c r="CK74" s="18">
        <v>31</v>
      </c>
      <c r="CL74" s="18">
        <f t="shared" si="180"/>
        <v>0</v>
      </c>
      <c r="CM74" s="18">
        <f t="shared" si="181"/>
        <v>0</v>
      </c>
      <c r="CN74" s="18">
        <f t="shared" si="175"/>
        <v>0</v>
      </c>
    </row>
    <row r="75" spans="1:92" x14ac:dyDescent="0.25">
      <c r="A75" s="122">
        <v>7.1</v>
      </c>
      <c r="B75" s="114">
        <v>6.7</v>
      </c>
      <c r="C75" s="114">
        <v>6.1</v>
      </c>
      <c r="D75" s="114">
        <v>6.2</v>
      </c>
      <c r="E75" s="114">
        <v>6.9</v>
      </c>
      <c r="F75" s="114">
        <v>6.9</v>
      </c>
      <c r="G75" s="114">
        <v>6.1</v>
      </c>
      <c r="H75" s="3" t="s">
        <v>10</v>
      </c>
      <c r="I75" s="3">
        <v>11</v>
      </c>
      <c r="J75" s="3">
        <v>6</v>
      </c>
      <c r="K75" s="3">
        <v>6.9</v>
      </c>
      <c r="L75" s="3">
        <v>6.8</v>
      </c>
      <c r="M75" s="3">
        <v>6.9</v>
      </c>
      <c r="N75" s="3">
        <v>1</v>
      </c>
      <c r="O75" s="3">
        <v>1.1500000000000001</v>
      </c>
      <c r="P75" s="3">
        <v>1.1333333333333333</v>
      </c>
      <c r="Q75" s="3">
        <f t="shared" si="185"/>
        <v>1.1500000000000001</v>
      </c>
      <c r="R75" s="3">
        <f t="shared" si="186"/>
        <v>1.1833333333333333</v>
      </c>
      <c r="S75" s="3">
        <f t="shared" si="187"/>
        <v>1.1166666666666667</v>
      </c>
      <c r="T75" s="3">
        <f t="shared" si="188"/>
        <v>1.0166666666666666</v>
      </c>
      <c r="U75" s="3">
        <f t="shared" si="189"/>
        <v>1.0333333333333334</v>
      </c>
      <c r="V75" s="3">
        <f t="shared" si="190"/>
        <v>1.1500000000000001</v>
      </c>
      <c r="W75" s="3">
        <f t="shared" si="191"/>
        <v>1.1500000000000001</v>
      </c>
      <c r="X75" s="3">
        <f t="shared" si="192"/>
        <v>1.0166666666666666</v>
      </c>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G75" s="20">
        <f>SUM(BG63:BG74)</f>
        <v>2462223.5975533943</v>
      </c>
      <c r="BH75" s="20">
        <f>SUM(BH63:BH74)</f>
        <v>5130136.0266625201</v>
      </c>
      <c r="BI75" s="20">
        <f>SUM(BI63:BI74)</f>
        <v>7592359.6242159149</v>
      </c>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L75" s="20">
        <f>SUM(CL63:CL74)</f>
        <v>0</v>
      </c>
      <c r="CM75" s="20">
        <f>SUM(CM63:CM74)</f>
        <v>0</v>
      </c>
      <c r="CN75" s="20">
        <f>SUM(CN63:CN74)</f>
        <v>0</v>
      </c>
    </row>
    <row r="76" spans="1:92" x14ac:dyDescent="0.25">
      <c r="A76" s="122">
        <v>7.8</v>
      </c>
      <c r="B76" s="114">
        <v>7.4</v>
      </c>
      <c r="C76" s="114">
        <v>6.9</v>
      </c>
      <c r="D76" s="114">
        <v>6.9</v>
      </c>
      <c r="E76" s="114">
        <v>7.7</v>
      </c>
      <c r="F76" s="114">
        <v>7.6</v>
      </c>
      <c r="G76" s="114">
        <v>6.7</v>
      </c>
      <c r="H76" s="3" t="s">
        <v>11</v>
      </c>
      <c r="I76" s="3">
        <v>12</v>
      </c>
      <c r="J76" s="3">
        <v>6.8</v>
      </c>
      <c r="K76" s="3">
        <v>7.7</v>
      </c>
      <c r="L76" s="3">
        <v>7.7</v>
      </c>
      <c r="M76" s="3">
        <v>7.7</v>
      </c>
      <c r="N76" s="3">
        <v>1</v>
      </c>
      <c r="O76" s="3">
        <v>1.1323529411764706</v>
      </c>
      <c r="P76" s="3">
        <v>1.1323529411764706</v>
      </c>
      <c r="Q76" s="3">
        <f t="shared" si="185"/>
        <v>1.1323529411764706</v>
      </c>
      <c r="R76" s="3">
        <f t="shared" si="186"/>
        <v>1.1470588235294117</v>
      </c>
      <c r="S76" s="3">
        <f t="shared" si="187"/>
        <v>1.0882352941176472</v>
      </c>
      <c r="T76" s="3">
        <f t="shared" si="188"/>
        <v>1.0147058823529413</v>
      </c>
      <c r="U76" s="3">
        <f t="shared" si="189"/>
        <v>1.0147058823529413</v>
      </c>
      <c r="V76" s="3">
        <f t="shared" si="190"/>
        <v>1.1323529411764706</v>
      </c>
      <c r="W76" s="3">
        <f t="shared" si="191"/>
        <v>1.1176470588235294</v>
      </c>
      <c r="X76" s="3">
        <f t="shared" si="192"/>
        <v>0.98529411764705888</v>
      </c>
    </row>
    <row r="77" spans="1:92" x14ac:dyDescent="0.25">
      <c r="AF77" s="12" t="s">
        <v>91</v>
      </c>
      <c r="AG77" s="13"/>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5"/>
      <c r="BF77" s="15" t="s">
        <v>15</v>
      </c>
      <c r="BG77" s="15" t="s">
        <v>33</v>
      </c>
      <c r="BH77" s="15" t="s">
        <v>34</v>
      </c>
      <c r="BI77" s="15" t="s">
        <v>22</v>
      </c>
      <c r="BK77" s="12" t="s">
        <v>49</v>
      </c>
      <c r="BL77" s="13"/>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5"/>
      <c r="CK77" s="15" t="s">
        <v>15</v>
      </c>
      <c r="CL77" s="15" t="s">
        <v>33</v>
      </c>
      <c r="CM77" s="15" t="s">
        <v>34</v>
      </c>
      <c r="CN77" s="15" t="s">
        <v>22</v>
      </c>
    </row>
    <row r="78" spans="1:92" x14ac:dyDescent="0.25">
      <c r="AF78" s="16"/>
      <c r="AG78" s="3" t="s">
        <v>12</v>
      </c>
      <c r="AH78" s="16">
        <v>0</v>
      </c>
      <c r="AI78" s="16">
        <v>1</v>
      </c>
      <c r="AJ78" s="16">
        <v>2</v>
      </c>
      <c r="AK78" s="16">
        <v>3</v>
      </c>
      <c r="AL78" s="16">
        <v>4</v>
      </c>
      <c r="AM78" s="16">
        <v>5</v>
      </c>
      <c r="AN78" s="16">
        <v>6</v>
      </c>
      <c r="AO78" s="16">
        <v>7</v>
      </c>
      <c r="AP78" s="16">
        <v>8</v>
      </c>
      <c r="AQ78" s="16">
        <v>9</v>
      </c>
      <c r="AR78" s="16">
        <v>10</v>
      </c>
      <c r="AS78" s="16">
        <v>11</v>
      </c>
      <c r="AT78" s="16">
        <v>12</v>
      </c>
      <c r="AU78" s="16">
        <v>13</v>
      </c>
      <c r="AV78" s="16">
        <v>14</v>
      </c>
      <c r="AW78" s="16">
        <v>15</v>
      </c>
      <c r="AX78" s="16">
        <v>16</v>
      </c>
      <c r="AY78" s="16">
        <v>17</v>
      </c>
      <c r="AZ78" s="16">
        <v>18</v>
      </c>
      <c r="BA78" s="16">
        <v>19</v>
      </c>
      <c r="BB78" s="16">
        <v>20</v>
      </c>
      <c r="BC78" s="16">
        <v>21</v>
      </c>
      <c r="BD78" s="16">
        <v>22</v>
      </c>
      <c r="BE78" s="16">
        <v>23</v>
      </c>
      <c r="BF78" s="16"/>
      <c r="BG78" s="16"/>
      <c r="BH78" s="16"/>
      <c r="BI78" s="16"/>
      <c r="BK78" s="16"/>
      <c r="BL78" s="3" t="s">
        <v>12</v>
      </c>
      <c r="BM78" s="16">
        <v>0</v>
      </c>
      <c r="BN78" s="16">
        <v>1</v>
      </c>
      <c r="BO78" s="16">
        <v>2</v>
      </c>
      <c r="BP78" s="16">
        <v>3</v>
      </c>
      <c r="BQ78" s="16">
        <v>4</v>
      </c>
      <c r="BR78" s="16">
        <v>5</v>
      </c>
      <c r="BS78" s="16">
        <v>6</v>
      </c>
      <c r="BT78" s="16">
        <v>7</v>
      </c>
      <c r="BU78" s="16">
        <v>8</v>
      </c>
      <c r="BV78" s="16">
        <v>9</v>
      </c>
      <c r="BW78" s="16">
        <v>10</v>
      </c>
      <c r="BX78" s="16">
        <v>11</v>
      </c>
      <c r="BY78" s="16">
        <v>12</v>
      </c>
      <c r="BZ78" s="16">
        <v>13</v>
      </c>
      <c r="CA78" s="16">
        <v>14</v>
      </c>
      <c r="CB78" s="16">
        <v>15</v>
      </c>
      <c r="CC78" s="16">
        <v>16</v>
      </c>
      <c r="CD78" s="16">
        <v>17</v>
      </c>
      <c r="CE78" s="16">
        <v>18</v>
      </c>
      <c r="CF78" s="16">
        <v>19</v>
      </c>
      <c r="CG78" s="16">
        <v>20</v>
      </c>
      <c r="CH78" s="16">
        <v>21</v>
      </c>
      <c r="CI78" s="16">
        <v>22</v>
      </c>
      <c r="CJ78" s="16">
        <v>23</v>
      </c>
      <c r="CK78" s="16"/>
      <c r="CL78" s="16"/>
      <c r="CM78" s="16"/>
      <c r="CN78" s="16"/>
    </row>
    <row r="79" spans="1:92" x14ac:dyDescent="0.25">
      <c r="H79" s="3" t="s">
        <v>89</v>
      </c>
      <c r="AF79" s="18" t="s">
        <v>0</v>
      </c>
      <c r="AG79" s="17">
        <v>1</v>
      </c>
      <c r="AH79" s="22">
        <v>4.1473387096774193E-2</v>
      </c>
      <c r="AI79" s="22">
        <v>3.3047580645161292E-2</v>
      </c>
      <c r="AJ79" s="22">
        <v>3.1097903225806443E-2</v>
      </c>
      <c r="AK79" s="22">
        <v>3.0309838709677416E-2</v>
      </c>
      <c r="AL79" s="22">
        <v>3.1491612903225795E-2</v>
      </c>
      <c r="AM79" s="22">
        <v>3.3327258064516134E-2</v>
      </c>
      <c r="AN79" s="22">
        <v>4.0083225806451614E-2</v>
      </c>
      <c r="AO79" s="22">
        <v>5.4387741935483867E-2</v>
      </c>
      <c r="AP79" s="22">
        <v>6.2147580645161279E-2</v>
      </c>
      <c r="AQ79" s="22">
        <v>6.847467741935484E-2</v>
      </c>
      <c r="AR79" s="22">
        <v>7.0350161290322594E-2</v>
      </c>
      <c r="AS79" s="22">
        <v>7.186467741935483E-2</v>
      </c>
      <c r="AT79" s="22">
        <v>7.912677419354841E-2</v>
      </c>
      <c r="AU79" s="22">
        <v>8.2165967741935506E-2</v>
      </c>
      <c r="AV79" s="22">
        <v>8.4278387096774168E-2</v>
      </c>
      <c r="AW79" s="22">
        <v>9.7181774193548398E-2</v>
      </c>
      <c r="AX79" s="22">
        <v>0.10418500000000003</v>
      </c>
      <c r="AY79" s="22">
        <v>0.10786064516129032</v>
      </c>
      <c r="AZ79" s="22">
        <v>7.856451612903223E-2</v>
      </c>
      <c r="BA79" s="22">
        <v>7.1392096774193531E-2</v>
      </c>
      <c r="BB79" s="22">
        <v>7.0812903225806453E-2</v>
      </c>
      <c r="BC79" s="22">
        <v>5.8882903225806457E-2</v>
      </c>
      <c r="BD79" s="22">
        <v>4.3934032258064512E-2</v>
      </c>
      <c r="BE79" s="22">
        <v>4.241677419354839E-2</v>
      </c>
      <c r="BF79" s="18">
        <v>31</v>
      </c>
      <c r="BK79" s="18" t="s">
        <v>0</v>
      </c>
      <c r="BL79" s="17">
        <v>1</v>
      </c>
      <c r="BM79" s="18">
        <f>AH63-BM47</f>
        <v>1520.66656951711</v>
      </c>
      <c r="BN79" s="18">
        <f t="shared" ref="BN79:CJ90" si="211">AI63-BN47</f>
        <v>1492.0119648072291</v>
      </c>
      <c r="BO79" s="18">
        <f t="shared" si="211"/>
        <v>1464.7691573745192</v>
      </c>
      <c r="BP79" s="18">
        <f t="shared" si="211"/>
        <v>1484.2585772493817</v>
      </c>
      <c r="BQ79" s="18">
        <f t="shared" si="211"/>
        <v>1583.6374844365807</v>
      </c>
      <c r="BR79" s="18">
        <f t="shared" si="211"/>
        <v>967.35761928825389</v>
      </c>
      <c r="BS79" s="18">
        <f t="shared" si="211"/>
        <v>596.47883407768222</v>
      </c>
      <c r="BT79" s="18">
        <f t="shared" si="211"/>
        <v>120.17163990966401</v>
      </c>
      <c r="BU79" s="18">
        <f t="shared" si="211"/>
        <v>0</v>
      </c>
      <c r="BV79" s="18">
        <f t="shared" si="211"/>
        <v>0</v>
      </c>
      <c r="BW79" s="18">
        <f t="shared" si="211"/>
        <v>0</v>
      </c>
      <c r="BX79" s="18">
        <f t="shared" si="211"/>
        <v>0</v>
      </c>
      <c r="BY79" s="18">
        <f t="shared" si="211"/>
        <v>0</v>
      </c>
      <c r="BZ79" s="18">
        <f t="shared" si="211"/>
        <v>0</v>
      </c>
      <c r="CA79" s="18">
        <f t="shared" si="211"/>
        <v>0</v>
      </c>
      <c r="CB79" s="18">
        <f t="shared" si="211"/>
        <v>0</v>
      </c>
      <c r="CC79" s="18">
        <f t="shared" si="211"/>
        <v>0</v>
      </c>
      <c r="CD79" s="18">
        <f t="shared" si="211"/>
        <v>0</v>
      </c>
      <c r="CE79" s="18">
        <f t="shared" si="211"/>
        <v>0</v>
      </c>
      <c r="CF79" s="18">
        <f t="shared" si="211"/>
        <v>865.18370365660417</v>
      </c>
      <c r="CG79" s="18">
        <f t="shared" si="211"/>
        <v>1649.5402459215188</v>
      </c>
      <c r="CH79" s="18">
        <f t="shared" si="211"/>
        <v>1597.4672143835883</v>
      </c>
      <c r="CI79" s="18">
        <f t="shared" si="211"/>
        <v>1558.6270758986575</v>
      </c>
      <c r="CJ79" s="18">
        <f t="shared" si="211"/>
        <v>1539.4588368734326</v>
      </c>
      <c r="CK79" s="18">
        <v>31</v>
      </c>
      <c r="CL79" s="18">
        <f>SUM(BT79:CI79)*CK79*5/7</f>
        <v>128229.06162347931</v>
      </c>
      <c r="CM79" s="18">
        <f>CN79-CL79</f>
        <v>381399.43500174169</v>
      </c>
      <c r="CN79" s="18">
        <f t="shared" ref="CN79:CN90" si="212">CK79*(SUM(BM79:CJ79))</f>
        <v>509628.49662522099</v>
      </c>
    </row>
    <row r="80" spans="1:92" x14ac:dyDescent="0.25">
      <c r="H80" s="3">
        <f>IF('Summary Sheet'!$B$13=Working!$M$4,Working!C134,IF('Summary Sheet'!$B$13=Working!$M$3,Working!C95,IF('Summary Sheet'!$B$13=Working!$M$2,Working!C108,Working!C121)))</f>
        <v>1520.66656951711</v>
      </c>
      <c r="I80" s="3">
        <f>IF('Summary Sheet'!$B$13=Working!$M$4,Working!D134,IF('Summary Sheet'!$B$13=Working!$M$3,Working!D95,IF('Summary Sheet'!$B$13=Working!$M$2,Working!D108,Working!D121)))</f>
        <v>1492.0119648072291</v>
      </c>
      <c r="J80" s="3">
        <f>IF('Summary Sheet'!$B$13=Working!$M$4,Working!E134,IF('Summary Sheet'!$B$13=Working!$M$3,Working!E95,IF('Summary Sheet'!$B$13=Working!$M$2,Working!E108,Working!E121)))</f>
        <v>1464.7691573745192</v>
      </c>
      <c r="K80" s="3">
        <f>IF('Summary Sheet'!$B$13=Working!$M$4,Working!F134,IF('Summary Sheet'!$B$13=Working!$M$3,Working!F95,IF('Summary Sheet'!$B$13=Working!$M$2,Working!F108,Working!F121)))</f>
        <v>1484.2585772493817</v>
      </c>
      <c r="L80" s="3">
        <f>IF('Summary Sheet'!$B$13=Working!$M$4,Working!G134,IF('Summary Sheet'!$B$13=Working!$M$3,Working!G95,IF('Summary Sheet'!$B$13=Working!$M$2,Working!G108,Working!G121)))</f>
        <v>1583.6374844365807</v>
      </c>
      <c r="M80" s="3">
        <f>IF('Summary Sheet'!$B$13=Working!$M$4,Working!H134,IF('Summary Sheet'!$B$13=Working!$M$3,Working!H95,IF('Summary Sheet'!$B$13=Working!$M$2,Working!H108,Working!H121)))</f>
        <v>973.9307392882539</v>
      </c>
      <c r="N80" s="3">
        <f>IF('Summary Sheet'!$B$13=Working!$M$4,Working!I134,IF('Summary Sheet'!$B$13=Working!$M$3,Working!I95,IF('Summary Sheet'!$B$13=Working!$M$2,Working!I108,Working!I121)))</f>
        <v>787.09931407768215</v>
      </c>
      <c r="O80" s="3">
        <f>IF('Summary Sheet'!$B$13=Working!$M$4,Working!J134,IF('Summary Sheet'!$B$13=Working!$M$3,Working!J95,IF('Summary Sheet'!$B$13=Working!$M$2,Working!J108,Working!J121)))</f>
        <v>849.78795990966466</v>
      </c>
      <c r="P80" s="3">
        <f>IF('Summary Sheet'!$B$13=Working!$M$4,Working!K134,IF('Summary Sheet'!$B$13=Working!$M$3,Working!K95,IF('Summary Sheet'!$B$13=Working!$M$2,Working!K108,Working!K121)))</f>
        <v>968.98939600012955</v>
      </c>
      <c r="Q80" s="3">
        <f>IF('Summary Sheet'!$B$13=Working!$M$4,Working!L134,IF('Summary Sheet'!$B$13=Working!$M$3,Working!L95,IF('Summary Sheet'!$B$13=Working!$M$2,Working!L108,Working!L121)))</f>
        <v>1046.3967811291163</v>
      </c>
      <c r="R80" s="3">
        <f>IF('Summary Sheet'!$B$13=Working!$M$4,Working!M134,IF('Summary Sheet'!$B$13=Working!$M$3,Working!M95,IF('Summary Sheet'!$B$13=Working!$M$2,Working!M108,Working!M121)))</f>
        <v>1092.9820234439849</v>
      </c>
      <c r="S80" s="3">
        <f>IF('Summary Sheet'!$B$13=Working!$M$4,Working!N134,IF('Summary Sheet'!$B$13=Working!$M$3,Working!N95,IF('Summary Sheet'!$B$13=Working!$M$2,Working!N108,Working!N121)))</f>
        <v>1118.9018177130793</v>
      </c>
      <c r="T80" s="3">
        <f>IF('Summary Sheet'!$B$13=Working!$M$4,Working!O134,IF('Summary Sheet'!$B$13=Working!$M$3,Working!O95,IF('Summary Sheet'!$B$13=Working!$M$2,Working!O108,Working!O121)))</f>
        <v>1134.8954341766353</v>
      </c>
      <c r="U80" s="3">
        <f>IF('Summary Sheet'!$B$13=Working!$M$4,Working!P134,IF('Summary Sheet'!$B$13=Working!$M$3,Working!P95,IF('Summary Sheet'!$B$13=Working!$M$2,Working!P108,Working!P121)))</f>
        <v>1148.4018200056155</v>
      </c>
      <c r="V80" s="3">
        <f>IF('Summary Sheet'!$B$13=Working!$M$4,Working!Q134,IF('Summary Sheet'!$B$13=Working!$M$3,Working!Q95,IF('Summary Sheet'!$B$13=Working!$M$2,Working!Q108,Working!Q121)))</f>
        <v>1138.9023871926772</v>
      </c>
      <c r="W80" s="3">
        <f>IF('Summary Sheet'!$B$13=Working!$M$4,Working!R134,IF('Summary Sheet'!$B$13=Working!$M$3,Working!R95,IF('Summary Sheet'!$B$13=Working!$M$2,Working!R108,Working!R121)))</f>
        <v>1108.9700387985404</v>
      </c>
      <c r="X80" s="3">
        <f>IF('Summary Sheet'!$B$13=Working!$M$4,Working!S134,IF('Summary Sheet'!$B$13=Working!$M$3,Working!S95,IF('Summary Sheet'!$B$13=Working!$M$2,Working!S108,Working!S121)))</f>
        <v>1056.0029968591141</v>
      </c>
      <c r="Y80" s="3">
        <f>IF('Summary Sheet'!$B$13=Working!$M$4,Working!T134,IF('Summary Sheet'!$B$13=Working!$M$3,Working!T95,IF('Summary Sheet'!$B$13=Working!$M$2,Working!T108,Working!T121)))</f>
        <v>977.9706632485495</v>
      </c>
      <c r="Z80" s="3">
        <f>IF('Summary Sheet'!$B$13=Working!$M$4,Working!U134,IF('Summary Sheet'!$B$13=Working!$M$3,Working!U95,IF('Summary Sheet'!$B$13=Working!$M$2,Working!U108,Working!U121)))</f>
        <v>920.38104401473845</v>
      </c>
      <c r="AA80" s="3">
        <f>IF('Summary Sheet'!$B$13=Working!$M$4,Working!V134,IF('Summary Sheet'!$B$13=Working!$M$3,Working!V95,IF('Summary Sheet'!$B$13=Working!$M$2,Working!V108,Working!V121)))</f>
        <v>1160.974103656604</v>
      </c>
      <c r="AB80" s="3">
        <f>IF('Summary Sheet'!$B$13=Working!$M$4,Working!W134,IF('Summary Sheet'!$B$13=Working!$M$3,Working!W95,IF('Summary Sheet'!$B$13=Working!$M$2,Working!W108,Working!W121)))</f>
        <v>1675.8327259215189</v>
      </c>
      <c r="AC80" s="3">
        <f>IF('Summary Sheet'!$B$13=Working!$M$4,Working!X134,IF('Summary Sheet'!$B$13=Working!$M$3,Working!X95,IF('Summary Sheet'!$B$13=Working!$M$2,Working!X108,Working!X121)))</f>
        <v>1597.4672143835883</v>
      </c>
      <c r="AD80" s="3">
        <f>IF('Summary Sheet'!$B$13=Working!$M$4,Working!Y134,IF('Summary Sheet'!$B$13=Working!$M$3,Working!Y95,IF('Summary Sheet'!$B$13=Working!$M$2,Working!Y108,Working!Y121)))</f>
        <v>1558.6270758986575</v>
      </c>
      <c r="AE80" s="3">
        <f>IF('Summary Sheet'!$B$13=Working!$M$4,Working!Z134,IF('Summary Sheet'!$B$13=Working!$M$3,Working!Z95,IF('Summary Sheet'!$B$13=Working!$M$2,Working!Z108,Working!Z121)))</f>
        <v>1539.4588368734326</v>
      </c>
      <c r="AF80" s="18" t="s">
        <v>1</v>
      </c>
      <c r="AG80" s="17">
        <v>2</v>
      </c>
      <c r="AH80" s="22">
        <v>6.4028749999999995E-2</v>
      </c>
      <c r="AI80" s="22">
        <v>4.3473035714285714E-2</v>
      </c>
      <c r="AJ80" s="22">
        <v>3.4228035714285718E-2</v>
      </c>
      <c r="AK80" s="22">
        <v>4.3866785714285719E-2</v>
      </c>
      <c r="AL80" s="22">
        <v>4.7456428571428566E-2</v>
      </c>
      <c r="AM80" s="22">
        <v>6.0541428571428559E-2</v>
      </c>
      <c r="AN80" s="22">
        <v>8.4744464285714277E-2</v>
      </c>
      <c r="AO80" s="22">
        <v>0.10142267857142857</v>
      </c>
      <c r="AP80" s="22">
        <v>9.0144821428571428E-2</v>
      </c>
      <c r="AQ80" s="22">
        <v>9.5730892857142869E-2</v>
      </c>
      <c r="AR80" s="22">
        <v>9.3757678571428582E-2</v>
      </c>
      <c r="AS80" s="22">
        <v>0.10262196428571428</v>
      </c>
      <c r="AT80" s="22">
        <v>0.10067375000000002</v>
      </c>
      <c r="AU80" s="22">
        <v>0.10208571428571431</v>
      </c>
      <c r="AV80" s="22">
        <v>0.10279910714285714</v>
      </c>
      <c r="AW80" s="22">
        <v>0.10939107142857142</v>
      </c>
      <c r="AX80" s="22">
        <v>0.15574142857142856</v>
      </c>
      <c r="AY80" s="22">
        <v>0.11772946428571429</v>
      </c>
      <c r="AZ80" s="22">
        <v>9.6059107142857147E-2</v>
      </c>
      <c r="BA80" s="22">
        <v>0.10158946428571428</v>
      </c>
      <c r="BB80" s="22">
        <v>9.932232142857142E-2</v>
      </c>
      <c r="BC80" s="22">
        <v>8.2031964285714284E-2</v>
      </c>
      <c r="BD80" s="22">
        <v>6.5454464285714276E-2</v>
      </c>
      <c r="BE80" s="22">
        <v>7.0239107142857152E-2</v>
      </c>
      <c r="BF80" s="18">
        <v>28</v>
      </c>
      <c r="BK80" s="18" t="s">
        <v>1</v>
      </c>
      <c r="BL80" s="17">
        <v>2</v>
      </c>
      <c r="BM80" s="18">
        <f t="shared" ref="BM80:BM90" si="213">AH64-BM48</f>
        <v>1533.9272605976807</v>
      </c>
      <c r="BN80" s="18">
        <f t="shared" si="211"/>
        <v>1501.7538230565597</v>
      </c>
      <c r="BO80" s="18">
        <f t="shared" si="211"/>
        <v>1499.1285484004959</v>
      </c>
      <c r="BP80" s="18">
        <f t="shared" si="211"/>
        <v>1532.8758944431861</v>
      </c>
      <c r="BQ80" s="18">
        <f t="shared" si="211"/>
        <v>1604.1814563214552</v>
      </c>
      <c r="BR80" s="18">
        <f t="shared" si="211"/>
        <v>1519.0682995975619</v>
      </c>
      <c r="BS80" s="18">
        <f t="shared" si="211"/>
        <v>763.96965708451557</v>
      </c>
      <c r="BT80" s="18">
        <f t="shared" si="211"/>
        <v>420.88830569794771</v>
      </c>
      <c r="BU80" s="18">
        <f t="shared" si="211"/>
        <v>0</v>
      </c>
      <c r="BV80" s="18">
        <f t="shared" si="211"/>
        <v>0</v>
      </c>
      <c r="BW80" s="18">
        <f t="shared" si="211"/>
        <v>0</v>
      </c>
      <c r="BX80" s="18">
        <f t="shared" si="211"/>
        <v>0</v>
      </c>
      <c r="BY80" s="18">
        <f t="shared" si="211"/>
        <v>0</v>
      </c>
      <c r="BZ80" s="18">
        <f t="shared" si="211"/>
        <v>0</v>
      </c>
      <c r="CA80" s="18">
        <f t="shared" si="211"/>
        <v>0</v>
      </c>
      <c r="CB80" s="18">
        <f t="shared" si="211"/>
        <v>0</v>
      </c>
      <c r="CC80" s="18">
        <f t="shared" si="211"/>
        <v>0</v>
      </c>
      <c r="CD80" s="18">
        <f t="shared" si="211"/>
        <v>0</v>
      </c>
      <c r="CE80" s="18">
        <f t="shared" si="211"/>
        <v>71.384496167351131</v>
      </c>
      <c r="CF80" s="18">
        <f t="shared" si="211"/>
        <v>1613.5621460434627</v>
      </c>
      <c r="CG80" s="18">
        <f t="shared" si="211"/>
        <v>1810.3384821345685</v>
      </c>
      <c r="CH80" s="18">
        <f t="shared" si="211"/>
        <v>1706.1899056398679</v>
      </c>
      <c r="CI80" s="18">
        <f t="shared" si="211"/>
        <v>1589.1033245289054</v>
      </c>
      <c r="CJ80" s="18">
        <f t="shared" si="211"/>
        <v>1561.5955062108035</v>
      </c>
      <c r="CK80" s="18">
        <v>28</v>
      </c>
      <c r="CL80" s="18">
        <f t="shared" ref="CL80:CL90" si="214">SUM(BT80:CI80)*CK80*5/7</f>
        <v>144229.33320424208</v>
      </c>
      <c r="CM80" s="18">
        <f t="shared" ref="CM80:CM90" si="215">CN80-CL80</f>
        <v>380153.74576164014</v>
      </c>
      <c r="CN80" s="18">
        <f t="shared" si="212"/>
        <v>524383.07896588219</v>
      </c>
    </row>
    <row r="81" spans="2:92" x14ac:dyDescent="0.25">
      <c r="H81" s="3">
        <f>IF('Summary Sheet'!$B$13=Working!$M$4,Working!C135,IF('Summary Sheet'!$B$13=Working!$M$3,Working!C96,IF('Summary Sheet'!$B$13=Working!$M$2,Working!C109,Working!C122)))</f>
        <v>1533.9272605976807</v>
      </c>
      <c r="I81" s="3">
        <f>IF('Summary Sheet'!$B$13=Working!$M$4,Working!D135,IF('Summary Sheet'!$B$13=Working!$M$3,Working!D96,IF('Summary Sheet'!$B$13=Working!$M$2,Working!D109,Working!D122)))</f>
        <v>1501.7538230565597</v>
      </c>
      <c r="J81" s="3">
        <f>IF('Summary Sheet'!$B$13=Working!$M$4,Working!E135,IF('Summary Sheet'!$B$13=Working!$M$3,Working!E96,IF('Summary Sheet'!$B$13=Working!$M$2,Working!E109,Working!E122)))</f>
        <v>1499.1285484004959</v>
      </c>
      <c r="K81" s="3">
        <f>IF('Summary Sheet'!$B$13=Working!$M$4,Working!F135,IF('Summary Sheet'!$B$13=Working!$M$3,Working!F96,IF('Summary Sheet'!$B$13=Working!$M$2,Working!F109,Working!F122)))</f>
        <v>1532.8758944431861</v>
      </c>
      <c r="L81" s="3">
        <f>IF('Summary Sheet'!$B$13=Working!$M$4,Working!G135,IF('Summary Sheet'!$B$13=Working!$M$3,Working!G96,IF('Summary Sheet'!$B$13=Working!$M$2,Working!G109,Working!G122)))</f>
        <v>1604.1814563214552</v>
      </c>
      <c r="M81" s="3">
        <f>IF('Summary Sheet'!$B$13=Working!$M$4,Working!H135,IF('Summary Sheet'!$B$13=Working!$M$3,Working!H96,IF('Summary Sheet'!$B$13=Working!$M$2,Working!H109,Working!H122)))</f>
        <v>1519.0682995975619</v>
      </c>
      <c r="N81" s="3">
        <f>IF('Summary Sheet'!$B$13=Working!$M$4,Working!I135,IF('Summary Sheet'!$B$13=Working!$M$3,Working!I96,IF('Summary Sheet'!$B$13=Working!$M$2,Working!I109,Working!I122)))</f>
        <v>823.12773708451562</v>
      </c>
      <c r="O81" s="3">
        <f>IF('Summary Sheet'!$B$13=Working!$M$4,Working!J135,IF('Summary Sheet'!$B$13=Working!$M$3,Working!J96,IF('Summary Sheet'!$B$13=Working!$M$2,Working!J109,Working!J122)))</f>
        <v>881.00670569794761</v>
      </c>
      <c r="P81" s="3">
        <f>IF('Summary Sheet'!$B$13=Working!$M$4,Working!K135,IF('Summary Sheet'!$B$13=Working!$M$3,Working!K96,IF('Summary Sheet'!$B$13=Working!$M$2,Working!K109,Working!K122)))</f>
        <v>1000.1881510032197</v>
      </c>
      <c r="Q81" s="3">
        <f>IF('Summary Sheet'!$B$13=Working!$M$4,Working!L135,IF('Summary Sheet'!$B$13=Working!$M$3,Working!L96,IF('Summary Sheet'!$B$13=Working!$M$2,Working!L109,Working!L122)))</f>
        <v>1069.9777366357407</v>
      </c>
      <c r="R81" s="3">
        <f>IF('Summary Sheet'!$B$13=Working!$M$4,Working!M135,IF('Summary Sheet'!$B$13=Working!$M$3,Working!M96,IF('Summary Sheet'!$B$13=Working!$M$2,Working!M109,Working!M122)))</f>
        <v>1098.6050693360346</v>
      </c>
      <c r="S81" s="3">
        <f>IF('Summary Sheet'!$B$13=Working!$M$4,Working!N135,IF('Summary Sheet'!$B$13=Working!$M$3,Working!N96,IF('Summary Sheet'!$B$13=Working!$M$2,Working!N109,Working!N122)))</f>
        <v>1128.247260959831</v>
      </c>
      <c r="T81" s="3">
        <f>IF('Summary Sheet'!$B$13=Working!$M$4,Working!O135,IF('Summary Sheet'!$B$13=Working!$M$3,Working!O96,IF('Summary Sheet'!$B$13=Working!$M$2,Working!O109,Working!O122)))</f>
        <v>1158.1553419875374</v>
      </c>
      <c r="U81" s="3">
        <f>IF('Summary Sheet'!$B$13=Working!$M$4,Working!P135,IF('Summary Sheet'!$B$13=Working!$M$3,Working!P96,IF('Summary Sheet'!$B$13=Working!$M$2,Working!P109,Working!P122)))</f>
        <v>1172.437687725951</v>
      </c>
      <c r="V81" s="3">
        <f>IF('Summary Sheet'!$B$13=Working!$M$4,Working!Q135,IF('Summary Sheet'!$B$13=Working!$M$3,Working!Q96,IF('Summary Sheet'!$B$13=Working!$M$2,Working!Q109,Working!Q122)))</f>
        <v>1159.0700366010424</v>
      </c>
      <c r="W81" s="3">
        <f>IF('Summary Sheet'!$B$13=Working!$M$4,Working!R135,IF('Summary Sheet'!$B$13=Working!$M$3,Working!R96,IF('Summary Sheet'!$B$13=Working!$M$2,Working!R109,Working!R122)))</f>
        <v>1159.9757682508407</v>
      </c>
      <c r="X81" s="3">
        <f>IF('Summary Sheet'!$B$13=Working!$M$4,Working!S135,IF('Summary Sheet'!$B$13=Working!$M$3,Working!S96,IF('Summary Sheet'!$B$13=Working!$M$2,Working!S109,Working!S122)))</f>
        <v>1135.2419560691192</v>
      </c>
      <c r="Y81" s="3">
        <f>IF('Summary Sheet'!$B$13=Working!$M$4,Working!T135,IF('Summary Sheet'!$B$13=Working!$M$3,Working!T96,IF('Summary Sheet'!$B$13=Working!$M$2,Working!T109,Working!T122)))</f>
        <v>1068.5957073548029</v>
      </c>
      <c r="Z81" s="3">
        <f>IF('Summary Sheet'!$B$13=Working!$M$4,Working!U135,IF('Summary Sheet'!$B$13=Working!$M$3,Working!U96,IF('Summary Sheet'!$B$13=Working!$M$2,Working!U109,Working!U122)))</f>
        <v>1050.7793761673511</v>
      </c>
      <c r="AA81" s="3">
        <f>IF('Summary Sheet'!$B$13=Working!$M$4,Working!V135,IF('Summary Sheet'!$B$13=Working!$M$3,Working!V96,IF('Summary Sheet'!$B$13=Working!$M$2,Working!V109,Working!V122)))</f>
        <v>1797.6095060434627</v>
      </c>
      <c r="AB81" s="3">
        <f>IF('Summary Sheet'!$B$13=Working!$M$4,Working!W135,IF('Summary Sheet'!$B$13=Working!$M$3,Working!W96,IF('Summary Sheet'!$B$13=Working!$M$2,Working!W109,Working!W122)))</f>
        <v>1810.3384821345685</v>
      </c>
      <c r="AC81" s="3">
        <f>IF('Summary Sheet'!$B$13=Working!$M$4,Working!X135,IF('Summary Sheet'!$B$13=Working!$M$3,Working!X96,IF('Summary Sheet'!$B$13=Working!$M$2,Working!X109,Working!X122)))</f>
        <v>1706.1899056398679</v>
      </c>
      <c r="AD81" s="3">
        <f>IF('Summary Sheet'!$B$13=Working!$M$4,Working!Y135,IF('Summary Sheet'!$B$13=Working!$M$3,Working!Y96,IF('Summary Sheet'!$B$13=Working!$M$2,Working!Y109,Working!Y122)))</f>
        <v>1589.1033245289054</v>
      </c>
      <c r="AE81" s="3">
        <f>IF('Summary Sheet'!$B$13=Working!$M$4,Working!Z135,IF('Summary Sheet'!$B$13=Working!$M$3,Working!Z96,IF('Summary Sheet'!$B$13=Working!$M$2,Working!Z109,Working!Z122)))</f>
        <v>1561.5955062108035</v>
      </c>
      <c r="AF81" s="18" t="s">
        <v>2</v>
      </c>
      <c r="AG81" s="17">
        <v>3</v>
      </c>
      <c r="AH81" s="22">
        <v>6.4012419354838715E-2</v>
      </c>
      <c r="AI81" s="22">
        <v>5.0291612903225813E-2</v>
      </c>
      <c r="AJ81" s="22">
        <v>4.4265806451612905E-2</v>
      </c>
      <c r="AK81" s="22">
        <v>4.2705483870967731E-2</v>
      </c>
      <c r="AL81" s="22">
        <v>4.7823548387096779E-2</v>
      </c>
      <c r="AM81" s="22">
        <v>5.9330967741935497E-2</v>
      </c>
      <c r="AN81" s="22">
        <v>8.7252258064516128E-2</v>
      </c>
      <c r="AO81" s="22">
        <v>0.10639709677419355</v>
      </c>
      <c r="AP81" s="22">
        <v>0.1062714516129032</v>
      </c>
      <c r="AQ81" s="22">
        <v>0.10917612903225805</v>
      </c>
      <c r="AR81" s="22">
        <v>0.10831112903225805</v>
      </c>
      <c r="AS81" s="22">
        <v>0.10638806451612905</v>
      </c>
      <c r="AT81" s="22">
        <v>0.11440516129032256</v>
      </c>
      <c r="AU81" s="22">
        <v>0.11717903225806452</v>
      </c>
      <c r="AV81" s="22">
        <v>0.11403096774193548</v>
      </c>
      <c r="AW81" s="22">
        <v>0.12201387096774195</v>
      </c>
      <c r="AX81" s="22">
        <v>0.12385709677419353</v>
      </c>
      <c r="AY81" s="22">
        <v>0.12046983870967744</v>
      </c>
      <c r="AZ81" s="22">
        <v>0.11290096774193546</v>
      </c>
      <c r="BA81" s="22">
        <v>0.11365580645161291</v>
      </c>
      <c r="BB81" s="22">
        <v>9.4230161290322564E-2</v>
      </c>
      <c r="BC81" s="22">
        <v>7.7962258064516135E-2</v>
      </c>
      <c r="BD81" s="22">
        <v>6.2649677419354843E-2</v>
      </c>
      <c r="BE81" s="22">
        <v>6.8327741935483868E-2</v>
      </c>
      <c r="BF81" s="18">
        <v>31</v>
      </c>
      <c r="BK81" s="18" t="s">
        <v>2</v>
      </c>
      <c r="BL81" s="17">
        <v>3</v>
      </c>
      <c r="BM81" s="18">
        <f t="shared" si="213"/>
        <v>1572.4364464733935</v>
      </c>
      <c r="BN81" s="18">
        <f t="shared" si="211"/>
        <v>1537.1421823399328</v>
      </c>
      <c r="BO81" s="18">
        <f t="shared" si="211"/>
        <v>1531.9118604521536</v>
      </c>
      <c r="BP81" s="18">
        <f t="shared" si="211"/>
        <v>1569.6803507164302</v>
      </c>
      <c r="BQ81" s="18">
        <f t="shared" si="211"/>
        <v>1643.0627878855321</v>
      </c>
      <c r="BR81" s="18">
        <f t="shared" si="211"/>
        <v>1749.9632037837218</v>
      </c>
      <c r="BS81" s="18">
        <f t="shared" si="211"/>
        <v>1132.0629691902827</v>
      </c>
      <c r="BT81" s="18">
        <f t="shared" si="211"/>
        <v>698.97845114908569</v>
      </c>
      <c r="BU81" s="18">
        <f t="shared" si="211"/>
        <v>0</v>
      </c>
      <c r="BV81" s="18">
        <f t="shared" si="211"/>
        <v>0</v>
      </c>
      <c r="BW81" s="18">
        <f t="shared" si="211"/>
        <v>0</v>
      </c>
      <c r="BX81" s="18">
        <f t="shared" si="211"/>
        <v>0</v>
      </c>
      <c r="BY81" s="18">
        <f t="shared" si="211"/>
        <v>0</v>
      </c>
      <c r="BZ81" s="18">
        <f t="shared" si="211"/>
        <v>0</v>
      </c>
      <c r="CA81" s="18">
        <f t="shared" si="211"/>
        <v>0</v>
      </c>
      <c r="CB81" s="18">
        <f t="shared" si="211"/>
        <v>0</v>
      </c>
      <c r="CC81" s="18">
        <f t="shared" si="211"/>
        <v>0</v>
      </c>
      <c r="CD81" s="18">
        <f t="shared" si="211"/>
        <v>0</v>
      </c>
      <c r="CE81" s="18">
        <f t="shared" si="211"/>
        <v>1200.384995596045</v>
      </c>
      <c r="CF81" s="18">
        <f t="shared" si="211"/>
        <v>2150.6865149043642</v>
      </c>
      <c r="CG81" s="18">
        <f t="shared" si="211"/>
        <v>1841.8822809720359</v>
      </c>
      <c r="CH81" s="18">
        <f t="shared" si="211"/>
        <v>1697.1644714266288</v>
      </c>
      <c r="CI81" s="18">
        <f t="shared" si="211"/>
        <v>1632.7066221388186</v>
      </c>
      <c r="CJ81" s="18">
        <f t="shared" si="211"/>
        <v>1593.7083992364578</v>
      </c>
      <c r="CK81" s="18">
        <v>31</v>
      </c>
      <c r="CL81" s="18">
        <f t="shared" si="214"/>
        <v>204197.07387271168</v>
      </c>
      <c r="CM81" s="18">
        <f t="shared" si="215"/>
        <v>463907.8437514996</v>
      </c>
      <c r="CN81" s="18">
        <f t="shared" si="212"/>
        <v>668104.91762421129</v>
      </c>
    </row>
    <row r="82" spans="2:92" x14ac:dyDescent="0.25">
      <c r="H82" s="3">
        <f>IF('Summary Sheet'!$B$13=Working!$M$4,Working!C136,IF('Summary Sheet'!$B$13=Working!$M$3,Working!C97,IF('Summary Sheet'!$B$13=Working!$M$2,Working!C110,Working!C123)))</f>
        <v>1572.4364464733935</v>
      </c>
      <c r="I82" s="3">
        <f>IF('Summary Sheet'!$B$13=Working!$M$4,Working!D136,IF('Summary Sheet'!$B$13=Working!$M$3,Working!D97,IF('Summary Sheet'!$B$13=Working!$M$2,Working!D110,Working!D123)))</f>
        <v>1537.1421823399328</v>
      </c>
      <c r="J82" s="3">
        <f>IF('Summary Sheet'!$B$13=Working!$M$4,Working!E136,IF('Summary Sheet'!$B$13=Working!$M$3,Working!E97,IF('Summary Sheet'!$B$13=Working!$M$2,Working!E110,Working!E123)))</f>
        <v>1531.9118604521536</v>
      </c>
      <c r="K82" s="3">
        <f>IF('Summary Sheet'!$B$13=Working!$M$4,Working!F136,IF('Summary Sheet'!$B$13=Working!$M$3,Working!F97,IF('Summary Sheet'!$B$13=Working!$M$2,Working!F110,Working!F123)))</f>
        <v>1569.6803507164302</v>
      </c>
      <c r="L82" s="3">
        <f>IF('Summary Sheet'!$B$13=Working!$M$4,Working!G136,IF('Summary Sheet'!$B$13=Working!$M$3,Working!G97,IF('Summary Sheet'!$B$13=Working!$M$2,Working!G110,Working!G123)))</f>
        <v>1643.0627878855321</v>
      </c>
      <c r="M82" s="3">
        <f>IF('Summary Sheet'!$B$13=Working!$M$4,Working!H136,IF('Summary Sheet'!$B$13=Working!$M$3,Working!H97,IF('Summary Sheet'!$B$13=Working!$M$2,Working!H110,Working!H123)))</f>
        <v>1749.9632037837218</v>
      </c>
      <c r="N82" s="3">
        <f>IF('Summary Sheet'!$B$13=Working!$M$4,Working!I136,IF('Summary Sheet'!$B$13=Working!$M$3,Working!I97,IF('Summary Sheet'!$B$13=Working!$M$2,Working!I110,Working!I123)))</f>
        <v>1138.6360891902827</v>
      </c>
      <c r="O82" s="3">
        <f>IF('Summary Sheet'!$B$13=Working!$M$4,Working!J136,IF('Summary Sheet'!$B$13=Working!$M$3,Working!J97,IF('Summary Sheet'!$B$13=Working!$M$2,Working!J110,Working!J123)))</f>
        <v>922.46453114908559</v>
      </c>
      <c r="P82" s="3">
        <f>IF('Summary Sheet'!$B$13=Working!$M$4,Working!K136,IF('Summary Sheet'!$B$13=Working!$M$3,Working!K97,IF('Summary Sheet'!$B$13=Working!$M$2,Working!K110,Working!K123)))</f>
        <v>1059.2726781432589</v>
      </c>
      <c r="Q82" s="3">
        <f>IF('Summary Sheet'!$B$13=Working!$M$4,Working!L136,IF('Summary Sheet'!$B$13=Working!$M$3,Working!L97,IF('Summary Sheet'!$B$13=Working!$M$2,Working!L110,Working!L123)))</f>
        <v>1130.8700959092841</v>
      </c>
      <c r="R82" s="3">
        <f>IF('Summary Sheet'!$B$13=Working!$M$4,Working!M136,IF('Summary Sheet'!$B$13=Working!$M$3,Working!M97,IF('Summary Sheet'!$B$13=Working!$M$2,Working!M110,Working!M123)))</f>
        <v>1187.6433576159338</v>
      </c>
      <c r="S82" s="3">
        <f>IF('Summary Sheet'!$B$13=Working!$M$4,Working!N136,IF('Summary Sheet'!$B$13=Working!$M$3,Working!N97,IF('Summary Sheet'!$B$13=Working!$M$2,Working!N110,Working!N123)))</f>
        <v>1224.8376152434685</v>
      </c>
      <c r="T82" s="3">
        <f>IF('Summary Sheet'!$B$13=Working!$M$4,Working!O136,IF('Summary Sheet'!$B$13=Working!$M$3,Working!O97,IF('Summary Sheet'!$B$13=Working!$M$2,Working!O110,Working!O123)))</f>
        <v>1260.2371545865822</v>
      </c>
      <c r="U82" s="3">
        <f>IF('Summary Sheet'!$B$13=Working!$M$4,Working!P136,IF('Summary Sheet'!$B$13=Working!$M$3,Working!P97,IF('Summary Sheet'!$B$13=Working!$M$2,Working!P110,Working!P123)))</f>
        <v>1244.823477175727</v>
      </c>
      <c r="V82" s="3">
        <f>IF('Summary Sheet'!$B$13=Working!$M$4,Working!Q136,IF('Summary Sheet'!$B$13=Working!$M$3,Working!Q97,IF('Summary Sheet'!$B$13=Working!$M$2,Working!Q110,Working!Q123)))</f>
        <v>1224.0056867199412</v>
      </c>
      <c r="W82" s="3">
        <f>IF('Summary Sheet'!$B$13=Working!$M$4,Working!R136,IF('Summary Sheet'!$B$13=Working!$M$3,Working!R97,IF('Summary Sheet'!$B$13=Working!$M$2,Working!R110,Working!R123)))</f>
        <v>1207.48796522664</v>
      </c>
      <c r="X82" s="3">
        <f>IF('Summary Sheet'!$B$13=Working!$M$4,Working!S136,IF('Summary Sheet'!$B$13=Working!$M$3,Working!S97,IF('Summary Sheet'!$B$13=Working!$M$2,Working!S110,Working!S123)))</f>
        <v>1210.1064245491127</v>
      </c>
      <c r="Y82" s="3">
        <f>IF('Summary Sheet'!$B$13=Working!$M$4,Working!T136,IF('Summary Sheet'!$B$13=Working!$M$3,Working!T97,IF('Summary Sheet'!$B$13=Working!$M$2,Working!T110,Working!T123)))</f>
        <v>1172.1573870588375</v>
      </c>
      <c r="Z82" s="3">
        <f>IF('Summary Sheet'!$B$13=Working!$M$4,Working!U136,IF('Summary Sheet'!$B$13=Working!$M$3,Working!U97,IF('Summary Sheet'!$B$13=Working!$M$2,Working!U110,Working!U123)))</f>
        <v>1627.6377955960452</v>
      </c>
      <c r="AA82" s="3">
        <f>IF('Summary Sheet'!$B$13=Working!$M$4,Working!V136,IF('Summary Sheet'!$B$13=Working!$M$3,Working!V97,IF('Summary Sheet'!$B$13=Working!$M$2,Working!V110,Working!V123)))</f>
        <v>2190.1252349043643</v>
      </c>
      <c r="AB82" s="3">
        <f>IF('Summary Sheet'!$B$13=Working!$M$4,Working!W136,IF('Summary Sheet'!$B$13=Working!$M$3,Working!W97,IF('Summary Sheet'!$B$13=Working!$M$2,Working!W110,Working!W123)))</f>
        <v>1841.8822809720359</v>
      </c>
      <c r="AC82" s="3">
        <f>IF('Summary Sheet'!$B$13=Working!$M$4,Working!X136,IF('Summary Sheet'!$B$13=Working!$M$3,Working!X97,IF('Summary Sheet'!$B$13=Working!$M$2,Working!X110,Working!X123)))</f>
        <v>1697.1644714266288</v>
      </c>
      <c r="AD82" s="3">
        <f>IF('Summary Sheet'!$B$13=Working!$M$4,Working!Y136,IF('Summary Sheet'!$B$13=Working!$M$3,Working!Y97,IF('Summary Sheet'!$B$13=Working!$M$2,Working!Y110,Working!Y123)))</f>
        <v>1632.7066221388186</v>
      </c>
      <c r="AE82" s="3">
        <f>IF('Summary Sheet'!$B$13=Working!$M$4,Working!Z136,IF('Summary Sheet'!$B$13=Working!$M$3,Working!Z97,IF('Summary Sheet'!$B$13=Working!$M$2,Working!Z110,Working!Z123)))</f>
        <v>1593.7083992364578</v>
      </c>
      <c r="AF82" s="18" t="s">
        <v>3</v>
      </c>
      <c r="AG82" s="17">
        <v>4</v>
      </c>
      <c r="AH82" s="22">
        <v>0.11122383333333333</v>
      </c>
      <c r="AI82" s="22">
        <v>9.7967500000000013E-2</v>
      </c>
      <c r="AJ82" s="22">
        <v>8.6532166666666674E-2</v>
      </c>
      <c r="AK82" s="22">
        <v>7.698933333333334E-2</v>
      </c>
      <c r="AL82" s="22">
        <v>7.233683333333335E-2</v>
      </c>
      <c r="AM82" s="22">
        <v>8.4025833333333327E-2</v>
      </c>
      <c r="AN82" s="22">
        <v>0.10397733333333332</v>
      </c>
      <c r="AO82" s="22">
        <v>0.12643149999999997</v>
      </c>
      <c r="AP82" s="22">
        <v>0.12466333333333333</v>
      </c>
      <c r="AQ82" s="22">
        <v>0.12326100000000002</v>
      </c>
      <c r="AR82" s="22">
        <v>0.11346233333333335</v>
      </c>
      <c r="AS82" s="22">
        <v>0.10937900000000003</v>
      </c>
      <c r="AT82" s="22">
        <v>0.10630366666666666</v>
      </c>
      <c r="AU82" s="22">
        <v>0.10617700000000001</v>
      </c>
      <c r="AV82" s="22">
        <v>0.10378633333333333</v>
      </c>
      <c r="AW82" s="22">
        <v>0.10429866666666668</v>
      </c>
      <c r="AX82" s="22">
        <v>0.10863733333333332</v>
      </c>
      <c r="AY82" s="22">
        <v>0.11862333333333334</v>
      </c>
      <c r="AZ82" s="22">
        <v>0.14772333333333335</v>
      </c>
      <c r="BA82" s="22">
        <v>0.12417983333333334</v>
      </c>
      <c r="BB82" s="22">
        <v>0.11789866666666664</v>
      </c>
      <c r="BC82" s="22">
        <v>0.10933416666666665</v>
      </c>
      <c r="BD82" s="22">
        <v>0.10621716666666665</v>
      </c>
      <c r="BE82" s="22">
        <v>0.111773</v>
      </c>
      <c r="BF82" s="18">
        <v>30</v>
      </c>
      <c r="BK82" s="18" t="s">
        <v>3</v>
      </c>
      <c r="BL82" s="17">
        <v>4</v>
      </c>
      <c r="BM82" s="18">
        <f t="shared" si="213"/>
        <v>1494.6946775335368</v>
      </c>
      <c r="BN82" s="18">
        <f t="shared" si="211"/>
        <v>1478.2681337175006</v>
      </c>
      <c r="BO82" s="18">
        <f t="shared" si="211"/>
        <v>1453.6726589758939</v>
      </c>
      <c r="BP82" s="18">
        <f t="shared" si="211"/>
        <v>1454.5768849973865</v>
      </c>
      <c r="BQ82" s="18">
        <f t="shared" si="211"/>
        <v>1486.5756611151651</v>
      </c>
      <c r="BR82" s="18">
        <f t="shared" si="211"/>
        <v>1566.8251001404346</v>
      </c>
      <c r="BS82" s="18">
        <f t="shared" si="211"/>
        <v>1428.8679965486549</v>
      </c>
      <c r="BT82" s="18">
        <f t="shared" si="211"/>
        <v>687.43947739033217</v>
      </c>
      <c r="BU82" s="18">
        <f t="shared" si="211"/>
        <v>22.252783805130207</v>
      </c>
      <c r="BV82" s="18">
        <f t="shared" si="211"/>
        <v>0</v>
      </c>
      <c r="BW82" s="18">
        <f t="shared" si="211"/>
        <v>0</v>
      </c>
      <c r="BX82" s="18">
        <f t="shared" si="211"/>
        <v>0</v>
      </c>
      <c r="BY82" s="18">
        <f t="shared" si="211"/>
        <v>0</v>
      </c>
      <c r="BZ82" s="18">
        <f t="shared" si="211"/>
        <v>0</v>
      </c>
      <c r="CA82" s="18">
        <f t="shared" si="211"/>
        <v>0</v>
      </c>
      <c r="CB82" s="18">
        <f t="shared" si="211"/>
        <v>0</v>
      </c>
      <c r="CC82" s="18">
        <f t="shared" si="211"/>
        <v>0</v>
      </c>
      <c r="CD82" s="18">
        <f t="shared" si="211"/>
        <v>266.85623317891884</v>
      </c>
      <c r="CE82" s="18">
        <f t="shared" si="211"/>
        <v>1692.8182247802577</v>
      </c>
      <c r="CF82" s="18">
        <f t="shared" si="211"/>
        <v>1774.0391563363523</v>
      </c>
      <c r="CG82" s="18">
        <f t="shared" si="211"/>
        <v>1702.7595810249009</v>
      </c>
      <c r="CH82" s="18">
        <f t="shared" si="211"/>
        <v>1595.8819292871779</v>
      </c>
      <c r="CI82" s="18">
        <f t="shared" si="211"/>
        <v>1554.6146922032237</v>
      </c>
      <c r="CJ82" s="18">
        <f t="shared" si="211"/>
        <v>1513.8528266488827</v>
      </c>
      <c r="CK82" s="18">
        <v>30</v>
      </c>
      <c r="CL82" s="18">
        <f t="shared" si="214"/>
        <v>199214.18738584916</v>
      </c>
      <c r="CM82" s="18">
        <f t="shared" si="215"/>
        <v>436005.69314466324</v>
      </c>
      <c r="CN82" s="18">
        <f t="shared" si="212"/>
        <v>635219.88053051243</v>
      </c>
    </row>
    <row r="83" spans="2:92" x14ac:dyDescent="0.25">
      <c r="H83" s="3">
        <f>IF('Summary Sheet'!$B$13=Working!$M$4,Working!C137,IF('Summary Sheet'!$B$13=Working!$M$3,Working!C98,IF('Summary Sheet'!$B$13=Working!$M$2,Working!C111,Working!C124)))</f>
        <v>1494.6946775335368</v>
      </c>
      <c r="I83" s="3">
        <f>IF('Summary Sheet'!$B$13=Working!$M$4,Working!D137,IF('Summary Sheet'!$B$13=Working!$M$3,Working!D98,IF('Summary Sheet'!$B$13=Working!$M$2,Working!D111,Working!D124)))</f>
        <v>1478.2681337175006</v>
      </c>
      <c r="J83" s="3">
        <f>IF('Summary Sheet'!$B$13=Working!$M$4,Working!E137,IF('Summary Sheet'!$B$13=Working!$M$3,Working!E98,IF('Summary Sheet'!$B$13=Working!$M$2,Working!E111,Working!E124)))</f>
        <v>1453.6726589758939</v>
      </c>
      <c r="K83" s="3">
        <f>IF('Summary Sheet'!$B$13=Working!$M$4,Working!F137,IF('Summary Sheet'!$B$13=Working!$M$3,Working!F98,IF('Summary Sheet'!$B$13=Working!$M$2,Working!F111,Working!F124)))</f>
        <v>1454.5768849973865</v>
      </c>
      <c r="L83" s="3">
        <f>IF('Summary Sheet'!$B$13=Working!$M$4,Working!G137,IF('Summary Sheet'!$B$13=Working!$M$3,Working!G98,IF('Summary Sheet'!$B$13=Working!$M$2,Working!G111,Working!G124)))</f>
        <v>1486.5756611151651</v>
      </c>
      <c r="M83" s="3">
        <f>IF('Summary Sheet'!$B$13=Working!$M$4,Working!H137,IF('Summary Sheet'!$B$13=Working!$M$3,Working!H98,IF('Summary Sheet'!$B$13=Working!$M$2,Working!H111,Working!H124)))</f>
        <v>1566.8251001404346</v>
      </c>
      <c r="N83" s="3">
        <f>IF('Summary Sheet'!$B$13=Working!$M$4,Working!I137,IF('Summary Sheet'!$B$13=Working!$M$3,Working!I98,IF('Summary Sheet'!$B$13=Working!$M$2,Working!I111,Working!I124)))</f>
        <v>1428.8679965486549</v>
      </c>
      <c r="O83" s="3">
        <f>IF('Summary Sheet'!$B$13=Working!$M$4,Working!J137,IF('Summary Sheet'!$B$13=Working!$M$3,Working!J98,IF('Summary Sheet'!$B$13=Working!$M$2,Working!J111,Working!J124)))</f>
        <v>753.17067739033212</v>
      </c>
      <c r="P83" s="3">
        <f>IF('Summary Sheet'!$B$13=Working!$M$4,Working!K137,IF('Summary Sheet'!$B$13=Working!$M$3,Working!K98,IF('Summary Sheet'!$B$13=Working!$M$2,Working!K111,Working!K124)))</f>
        <v>784.73470380512981</v>
      </c>
      <c r="Q83" s="3">
        <f>IF('Summary Sheet'!$B$13=Working!$M$4,Working!L137,IF('Summary Sheet'!$B$13=Working!$M$3,Working!L98,IF('Summary Sheet'!$B$13=Working!$M$2,Working!L111,Working!L124)))</f>
        <v>875.43615523011078</v>
      </c>
      <c r="R83" s="3">
        <f>IF('Summary Sheet'!$B$13=Working!$M$4,Working!M137,IF('Summary Sheet'!$B$13=Working!$M$3,Working!M98,IF('Summary Sheet'!$B$13=Working!$M$2,Working!M111,Working!M124)))</f>
        <v>919.1823794386703</v>
      </c>
      <c r="S83" s="3">
        <f>IF('Summary Sheet'!$B$13=Working!$M$4,Working!N137,IF('Summary Sheet'!$B$13=Working!$M$3,Working!N98,IF('Summary Sheet'!$B$13=Working!$M$2,Working!N111,Working!N124)))</f>
        <v>910.3044496806084</v>
      </c>
      <c r="T83" s="3">
        <f>IF('Summary Sheet'!$B$13=Working!$M$4,Working!O137,IF('Summary Sheet'!$B$13=Working!$M$3,Working!O98,IF('Summary Sheet'!$B$13=Working!$M$2,Working!O111,Working!O124)))</f>
        <v>925.56094318138253</v>
      </c>
      <c r="U83" s="3">
        <f>IF('Summary Sheet'!$B$13=Working!$M$4,Working!P137,IF('Summary Sheet'!$B$13=Working!$M$3,Working!P98,IF('Summary Sheet'!$B$13=Working!$M$2,Working!P111,Working!P124)))</f>
        <v>944.79378203028136</v>
      </c>
      <c r="V83" s="3">
        <f>IF('Summary Sheet'!$B$13=Working!$M$4,Working!Q137,IF('Summary Sheet'!$B$13=Working!$M$3,Working!Q98,IF('Summary Sheet'!$B$13=Working!$M$2,Working!Q111,Working!Q124)))</f>
        <v>943.97372588767678</v>
      </c>
      <c r="W83" s="3">
        <f>IF('Summary Sheet'!$B$13=Working!$M$4,Working!R137,IF('Summary Sheet'!$B$13=Working!$M$3,Working!R98,IF('Summary Sheet'!$B$13=Working!$M$2,Working!R111,Working!R124)))</f>
        <v>935.43805655410256</v>
      </c>
      <c r="X83" s="3">
        <f>IF('Summary Sheet'!$B$13=Working!$M$4,Working!S137,IF('Summary Sheet'!$B$13=Working!$M$3,Working!S98,IF('Summary Sheet'!$B$13=Working!$M$2,Working!S111,Working!S124)))</f>
        <v>943.05703385117329</v>
      </c>
      <c r="Y83" s="3">
        <f>IF('Summary Sheet'!$B$13=Working!$M$4,Working!T137,IF('Summary Sheet'!$B$13=Working!$M$3,Working!T98,IF('Summary Sheet'!$B$13=Working!$M$2,Working!T111,Working!T124)))</f>
        <v>1062.2037531789185</v>
      </c>
      <c r="Z83" s="3">
        <f>IF('Summary Sheet'!$B$13=Working!$M$4,Working!U137,IF('Summary Sheet'!$B$13=Working!$M$3,Working!U98,IF('Summary Sheet'!$B$13=Working!$M$2,Working!U111,Working!U124)))</f>
        <v>1771.6956647802576</v>
      </c>
      <c r="AA83" s="3">
        <f>IF('Summary Sheet'!$B$13=Working!$M$4,Working!V137,IF('Summary Sheet'!$B$13=Working!$M$3,Working!V98,IF('Summary Sheet'!$B$13=Working!$M$2,Working!V111,Working!V124)))</f>
        <v>1774.0391563363523</v>
      </c>
      <c r="AB83" s="3">
        <f>IF('Summary Sheet'!$B$13=Working!$M$4,Working!W137,IF('Summary Sheet'!$B$13=Working!$M$3,Working!W98,IF('Summary Sheet'!$B$13=Working!$M$2,Working!W111,Working!W124)))</f>
        <v>1702.7595810249009</v>
      </c>
      <c r="AC83" s="3">
        <f>IF('Summary Sheet'!$B$13=Working!$M$4,Working!X137,IF('Summary Sheet'!$B$13=Working!$M$3,Working!X98,IF('Summary Sheet'!$B$13=Working!$M$2,Working!X111,Working!X124)))</f>
        <v>1595.8819292871779</v>
      </c>
      <c r="AD83" s="3">
        <f>IF('Summary Sheet'!$B$13=Working!$M$4,Working!Y137,IF('Summary Sheet'!$B$13=Working!$M$3,Working!Y98,IF('Summary Sheet'!$B$13=Working!$M$2,Working!Y111,Working!Y124)))</f>
        <v>1554.6146922032237</v>
      </c>
      <c r="AE83" s="3">
        <f>IF('Summary Sheet'!$B$13=Working!$M$4,Working!Z137,IF('Summary Sheet'!$B$13=Working!$M$3,Working!Z98,IF('Summary Sheet'!$B$13=Working!$M$2,Working!Z111,Working!Z124)))</f>
        <v>1513.8528266488827</v>
      </c>
      <c r="AF83" s="18" t="s">
        <v>4</v>
      </c>
      <c r="AG83" s="17">
        <v>5</v>
      </c>
      <c r="AH83" s="22">
        <v>3.7806290322580649E-2</v>
      </c>
      <c r="AI83" s="22">
        <v>2.822596774193549E-2</v>
      </c>
      <c r="AJ83" s="22">
        <v>2.2616774193548392E-2</v>
      </c>
      <c r="AK83" s="22">
        <v>1.0841290322580646E-2</v>
      </c>
      <c r="AL83" s="22">
        <v>-2.185483870967781E-4</v>
      </c>
      <c r="AM83" s="22">
        <v>1.3220483870967742E-2</v>
      </c>
      <c r="AN83" s="22">
        <v>4.2660645161290325E-2</v>
      </c>
      <c r="AO83" s="22">
        <v>8.1959354838709697E-2</v>
      </c>
      <c r="AP83" s="22">
        <v>7.8049354838709672E-2</v>
      </c>
      <c r="AQ83" s="22">
        <v>6.8507258064516116E-2</v>
      </c>
      <c r="AR83" s="22">
        <v>6.62791935483871E-2</v>
      </c>
      <c r="AS83" s="22">
        <v>6.1713548387096778E-2</v>
      </c>
      <c r="AT83" s="22">
        <v>5.6227258064516131E-2</v>
      </c>
      <c r="AU83" s="22">
        <v>5.7449516129032249E-2</v>
      </c>
      <c r="AV83" s="22">
        <v>5.8845161290322572E-2</v>
      </c>
      <c r="AW83" s="22">
        <v>5.1953870967741927E-2</v>
      </c>
      <c r="AX83" s="22">
        <v>6.379919354838709E-2</v>
      </c>
      <c r="AY83" s="22">
        <v>8.362112903225806E-2</v>
      </c>
      <c r="AZ83" s="22">
        <v>0.13018258064516128</v>
      </c>
      <c r="BA83" s="22">
        <v>7.159516129032259E-2</v>
      </c>
      <c r="BB83" s="22">
        <v>6.9186774193548392E-2</v>
      </c>
      <c r="BC83" s="22">
        <v>5.2043064516129028E-2</v>
      </c>
      <c r="BD83" s="22">
        <v>4.7976451612903225E-2</v>
      </c>
      <c r="BE83" s="22">
        <v>4.6089838709677408E-2</v>
      </c>
      <c r="BF83" s="18">
        <v>31</v>
      </c>
      <c r="BK83" s="18" t="s">
        <v>4</v>
      </c>
      <c r="BL83" s="17">
        <v>5</v>
      </c>
      <c r="BM83" s="18">
        <f t="shared" si="213"/>
        <v>1464.8285536062099</v>
      </c>
      <c r="BN83" s="18">
        <f t="shared" si="211"/>
        <v>1440.5371439653006</v>
      </c>
      <c r="BO83" s="18">
        <f t="shared" si="211"/>
        <v>1400.7703150087</v>
      </c>
      <c r="BP83" s="18">
        <f t="shared" si="211"/>
        <v>1396.34726247239</v>
      </c>
      <c r="BQ83" s="18">
        <f t="shared" si="211"/>
        <v>1422.2944667840111</v>
      </c>
      <c r="BR83" s="18">
        <f t="shared" si="211"/>
        <v>1537.2631497374064</v>
      </c>
      <c r="BS83" s="18">
        <f t="shared" si="211"/>
        <v>1675.5128545661973</v>
      </c>
      <c r="BT83" s="18">
        <f t="shared" si="211"/>
        <v>1015.1006192756622</v>
      </c>
      <c r="BU83" s="18">
        <f t="shared" si="211"/>
        <v>588.46478910726523</v>
      </c>
      <c r="BV83" s="18">
        <f t="shared" si="211"/>
        <v>0</v>
      </c>
      <c r="BW83" s="18">
        <f t="shared" si="211"/>
        <v>0</v>
      </c>
      <c r="BX83" s="18">
        <f t="shared" si="211"/>
        <v>0</v>
      </c>
      <c r="BY83" s="18">
        <f t="shared" si="211"/>
        <v>0</v>
      </c>
      <c r="BZ83" s="18">
        <f t="shared" si="211"/>
        <v>0</v>
      </c>
      <c r="CA83" s="18">
        <f t="shared" si="211"/>
        <v>0</v>
      </c>
      <c r="CB83" s="18">
        <f t="shared" si="211"/>
        <v>0</v>
      </c>
      <c r="CC83" s="18">
        <f t="shared" si="211"/>
        <v>0</v>
      </c>
      <c r="CD83" s="18">
        <f t="shared" si="211"/>
        <v>1465.5026124218286</v>
      </c>
      <c r="CE83" s="18">
        <f t="shared" si="211"/>
        <v>2285.2771858583378</v>
      </c>
      <c r="CF83" s="18">
        <f t="shared" si="211"/>
        <v>2291.647760001073</v>
      </c>
      <c r="CG83" s="18">
        <f t="shared" si="211"/>
        <v>2072.1093575275968</v>
      </c>
      <c r="CH83" s="18">
        <f t="shared" si="211"/>
        <v>1726.1779706005213</v>
      </c>
      <c r="CI83" s="18">
        <f t="shared" si="211"/>
        <v>1607.8099183364905</v>
      </c>
      <c r="CJ83" s="18">
        <f t="shared" si="211"/>
        <v>1498.3140178791859</v>
      </c>
      <c r="CK83" s="18">
        <v>31</v>
      </c>
      <c r="CL83" s="18">
        <f t="shared" si="214"/>
        <v>289010.56900499435</v>
      </c>
      <c r="CM83" s="18">
        <f t="shared" si="215"/>
        <v>482516.12828659918</v>
      </c>
      <c r="CN83" s="18">
        <f t="shared" si="212"/>
        <v>771526.69729159353</v>
      </c>
    </row>
    <row r="84" spans="2:92" x14ac:dyDescent="0.25">
      <c r="H84" s="3">
        <f>IF('Summary Sheet'!$B$13=Working!$M$4,Working!C138,IF('Summary Sheet'!$B$13=Working!$M$3,Working!C99,IF('Summary Sheet'!$B$13=Working!$M$2,Working!C112,Working!C125)))</f>
        <v>1464.8285536062099</v>
      </c>
      <c r="I84" s="3">
        <f>IF('Summary Sheet'!$B$13=Working!$M$4,Working!D138,IF('Summary Sheet'!$B$13=Working!$M$3,Working!D99,IF('Summary Sheet'!$B$13=Working!$M$2,Working!D112,Working!D125)))</f>
        <v>1440.5371439653006</v>
      </c>
      <c r="J84" s="3">
        <f>IF('Summary Sheet'!$B$13=Working!$M$4,Working!E138,IF('Summary Sheet'!$B$13=Working!$M$3,Working!E99,IF('Summary Sheet'!$B$13=Working!$M$2,Working!E112,Working!E125)))</f>
        <v>1400.7703150087</v>
      </c>
      <c r="K84" s="3">
        <f>IF('Summary Sheet'!$B$13=Working!$M$4,Working!F138,IF('Summary Sheet'!$B$13=Working!$M$3,Working!F99,IF('Summary Sheet'!$B$13=Working!$M$2,Working!F112,Working!F125)))</f>
        <v>1396.34726247239</v>
      </c>
      <c r="L84" s="3">
        <f>IF('Summary Sheet'!$B$13=Working!$M$4,Working!G138,IF('Summary Sheet'!$B$13=Working!$M$3,Working!G99,IF('Summary Sheet'!$B$13=Working!$M$2,Working!G112,Working!G125)))</f>
        <v>1422.2944667840111</v>
      </c>
      <c r="M84" s="3">
        <f>IF('Summary Sheet'!$B$13=Working!$M$4,Working!H138,IF('Summary Sheet'!$B$13=Working!$M$3,Working!H99,IF('Summary Sheet'!$B$13=Working!$M$2,Working!H112,Working!H125)))</f>
        <v>1537.2631497374064</v>
      </c>
      <c r="N84" s="3">
        <f>IF('Summary Sheet'!$B$13=Working!$M$4,Working!I138,IF('Summary Sheet'!$B$13=Working!$M$3,Working!I99,IF('Summary Sheet'!$B$13=Working!$M$2,Working!I112,Working!I125)))</f>
        <v>1675.5128545661973</v>
      </c>
      <c r="O84" s="3">
        <f>IF('Summary Sheet'!$B$13=Working!$M$4,Working!J138,IF('Summary Sheet'!$B$13=Working!$M$3,Working!J99,IF('Summary Sheet'!$B$13=Working!$M$2,Working!J112,Working!J125)))</f>
        <v>1021.6737392756622</v>
      </c>
      <c r="P84" s="3">
        <f>IF('Summary Sheet'!$B$13=Working!$M$4,Working!K138,IF('Summary Sheet'!$B$13=Working!$M$3,Working!K99,IF('Summary Sheet'!$B$13=Working!$M$2,Working!K112,Working!K125)))</f>
        <v>857.96270910726525</v>
      </c>
      <c r="Q84" s="3">
        <f>IF('Summary Sheet'!$B$13=Working!$M$4,Working!L138,IF('Summary Sheet'!$B$13=Working!$M$3,Working!L99,IF('Summary Sheet'!$B$13=Working!$M$2,Working!L112,Working!L125)))</f>
        <v>903.23832734588825</v>
      </c>
      <c r="R84" s="3">
        <f>IF('Summary Sheet'!$B$13=Working!$M$4,Working!M138,IF('Summary Sheet'!$B$13=Working!$M$3,Working!M99,IF('Summary Sheet'!$B$13=Working!$M$2,Working!M112,Working!M125)))</f>
        <v>923.12868047971165</v>
      </c>
      <c r="S84" s="3">
        <f>IF('Summary Sheet'!$B$13=Working!$M$4,Working!N138,IF('Summary Sheet'!$B$13=Working!$M$3,Working!N99,IF('Summary Sheet'!$B$13=Working!$M$2,Working!N112,Working!N125)))</f>
        <v>909.84661679867236</v>
      </c>
      <c r="T84" s="3">
        <f>IF('Summary Sheet'!$B$13=Working!$M$4,Working!O138,IF('Summary Sheet'!$B$13=Working!$M$3,Working!O99,IF('Summary Sheet'!$B$13=Working!$M$2,Working!O112,Working!O125)))</f>
        <v>904.88383487044109</v>
      </c>
      <c r="U84" s="3">
        <f>IF('Summary Sheet'!$B$13=Working!$M$4,Working!P138,IF('Summary Sheet'!$B$13=Working!$M$3,Working!P99,IF('Summary Sheet'!$B$13=Working!$M$2,Working!P112,Working!P125)))</f>
        <v>904.75974335280068</v>
      </c>
      <c r="V84" s="3">
        <f>IF('Summary Sheet'!$B$13=Working!$M$4,Working!Q138,IF('Summary Sheet'!$B$13=Working!$M$3,Working!Q99,IF('Summary Sheet'!$B$13=Working!$M$2,Working!Q112,Working!Q125)))</f>
        <v>898.25967385239551</v>
      </c>
      <c r="W84" s="3">
        <f>IF('Summary Sheet'!$B$13=Working!$M$4,Working!R138,IF('Summary Sheet'!$B$13=Working!$M$3,Working!R99,IF('Summary Sheet'!$B$13=Working!$M$2,Working!R112,Working!R125)))</f>
        <v>897.38554816104488</v>
      </c>
      <c r="X84" s="3">
        <f>IF('Summary Sheet'!$B$13=Working!$M$4,Working!S138,IF('Summary Sheet'!$B$13=Working!$M$3,Working!S99,IF('Summary Sheet'!$B$13=Working!$M$2,Working!S112,Working!S125)))</f>
        <v>948.79949974941087</v>
      </c>
      <c r="Y84" s="3">
        <f>IF('Summary Sheet'!$B$13=Working!$M$4,Working!T138,IF('Summary Sheet'!$B$13=Working!$M$3,Working!T99,IF('Summary Sheet'!$B$13=Working!$M$2,Working!T112,Working!T125)))</f>
        <v>1682.4155724218285</v>
      </c>
      <c r="Z84" s="3">
        <f>IF('Summary Sheet'!$B$13=Working!$M$4,Working!U138,IF('Summary Sheet'!$B$13=Working!$M$3,Working!U99,IF('Summary Sheet'!$B$13=Working!$M$2,Working!U112,Working!U125)))</f>
        <v>2291.8503058583378</v>
      </c>
      <c r="AA84" s="3">
        <f>IF('Summary Sheet'!$B$13=Working!$M$4,Working!V138,IF('Summary Sheet'!$B$13=Working!$M$3,Working!V99,IF('Summary Sheet'!$B$13=Working!$M$2,Working!V112,Working!V125)))</f>
        <v>2291.647760001073</v>
      </c>
      <c r="AB84" s="3">
        <f>IF('Summary Sheet'!$B$13=Working!$M$4,Working!W138,IF('Summary Sheet'!$B$13=Working!$M$3,Working!W99,IF('Summary Sheet'!$B$13=Working!$M$2,Working!W112,Working!W125)))</f>
        <v>2072.1093575275968</v>
      </c>
      <c r="AC84" s="3">
        <f>IF('Summary Sheet'!$B$13=Working!$M$4,Working!X138,IF('Summary Sheet'!$B$13=Working!$M$3,Working!X99,IF('Summary Sheet'!$B$13=Working!$M$2,Working!X112,Working!X125)))</f>
        <v>1726.1779706005213</v>
      </c>
      <c r="AD84" s="3">
        <f>IF('Summary Sheet'!$B$13=Working!$M$4,Working!Y138,IF('Summary Sheet'!$B$13=Working!$M$3,Working!Y99,IF('Summary Sheet'!$B$13=Working!$M$2,Working!Y112,Working!Y125)))</f>
        <v>1607.8099183364905</v>
      </c>
      <c r="AE84" s="3">
        <f>IF('Summary Sheet'!$B$13=Working!$M$4,Working!Z138,IF('Summary Sheet'!$B$13=Working!$M$3,Working!Z99,IF('Summary Sheet'!$B$13=Working!$M$2,Working!Z112,Working!Z125)))</f>
        <v>1498.3140178791859</v>
      </c>
      <c r="AF84" s="18" t="s">
        <v>5</v>
      </c>
      <c r="AG84" s="17">
        <v>6</v>
      </c>
      <c r="AH84" s="22">
        <v>6.7722833333333329E-2</v>
      </c>
      <c r="AI84" s="22">
        <v>5.1581833333333341E-2</v>
      </c>
      <c r="AJ84" s="22">
        <v>3.9116166666666653E-2</v>
      </c>
      <c r="AK84" s="22">
        <v>2.9270000000000011E-2</v>
      </c>
      <c r="AL84" s="22">
        <v>2.5984499999999997E-2</v>
      </c>
      <c r="AM84" s="22">
        <v>3.4849166666666667E-2</v>
      </c>
      <c r="AN84" s="22">
        <v>6.5698333333333345E-2</v>
      </c>
      <c r="AO84" s="22">
        <v>0.12525066666666668</v>
      </c>
      <c r="AP84" s="22">
        <v>0.14158516666666668</v>
      </c>
      <c r="AQ84" s="22">
        <v>0.13446116666666666</v>
      </c>
      <c r="AR84" s="22">
        <v>0.12280216666666667</v>
      </c>
      <c r="AS84" s="22">
        <v>0.10144383333333337</v>
      </c>
      <c r="AT84" s="22">
        <v>9.3063999999999994E-2</v>
      </c>
      <c r="AU84" s="22">
        <v>9.0151333333333319E-2</v>
      </c>
      <c r="AV84" s="22">
        <v>9.1199833333333341E-2</v>
      </c>
      <c r="AW84" s="22">
        <v>8.8152000000000008E-2</v>
      </c>
      <c r="AX84" s="22">
        <v>0.10743650000000002</v>
      </c>
      <c r="AY84" s="22">
        <v>0.13581133333333331</v>
      </c>
      <c r="AZ84" s="22">
        <v>0.18413466666666667</v>
      </c>
      <c r="BA84" s="22">
        <v>0.11262733333333334</v>
      </c>
      <c r="BB84" s="22">
        <v>0.12415816666666665</v>
      </c>
      <c r="BC84" s="22">
        <v>0.10388599999999998</v>
      </c>
      <c r="BD84" s="22">
        <v>8.2731166666666675E-2</v>
      </c>
      <c r="BE84" s="22">
        <v>7.3840499999999989E-2</v>
      </c>
      <c r="BF84" s="18">
        <v>30</v>
      </c>
      <c r="BK84" s="18" t="s">
        <v>5</v>
      </c>
      <c r="BL84" s="17">
        <v>6</v>
      </c>
      <c r="BM84" s="18">
        <f t="shared" si="213"/>
        <v>1495.8969203969668</v>
      </c>
      <c r="BN84" s="18">
        <f t="shared" si="211"/>
        <v>1470.6462391325658</v>
      </c>
      <c r="BO84" s="18">
        <f t="shared" si="211"/>
        <v>1429.0923435111608</v>
      </c>
      <c r="BP84" s="18">
        <f t="shared" si="211"/>
        <v>1426.1378252556647</v>
      </c>
      <c r="BQ84" s="18">
        <f t="shared" si="211"/>
        <v>1446.4485856466138</v>
      </c>
      <c r="BR84" s="18">
        <f t="shared" si="211"/>
        <v>1569.0783726926379</v>
      </c>
      <c r="BS84" s="18">
        <f t="shared" si="211"/>
        <v>1732.4498616953892</v>
      </c>
      <c r="BT84" s="18">
        <f t="shared" si="211"/>
        <v>1387.7034465507502</v>
      </c>
      <c r="BU84" s="18">
        <f t="shared" si="211"/>
        <v>845.41460520938085</v>
      </c>
      <c r="BV84" s="18">
        <f t="shared" si="211"/>
        <v>89.03844909563702</v>
      </c>
      <c r="BW84" s="18">
        <f t="shared" si="211"/>
        <v>0</v>
      </c>
      <c r="BX84" s="18">
        <f t="shared" si="211"/>
        <v>0</v>
      </c>
      <c r="BY84" s="18">
        <f t="shared" si="211"/>
        <v>0</v>
      </c>
      <c r="BZ84" s="18">
        <f t="shared" si="211"/>
        <v>0</v>
      </c>
      <c r="CA84" s="18">
        <f t="shared" si="211"/>
        <v>0</v>
      </c>
      <c r="CB84" s="18">
        <f t="shared" si="211"/>
        <v>0</v>
      </c>
      <c r="CC84" s="18">
        <f t="shared" si="211"/>
        <v>0</v>
      </c>
      <c r="CD84" s="18">
        <f t="shared" si="211"/>
        <v>1745.8038092386905</v>
      </c>
      <c r="CE84" s="18">
        <f t="shared" si="211"/>
        <v>2266.4498208875402</v>
      </c>
      <c r="CF84" s="18">
        <f t="shared" si="211"/>
        <v>2301.1942547194435</v>
      </c>
      <c r="CG84" s="18">
        <f t="shared" si="211"/>
        <v>2154.3290371056332</v>
      </c>
      <c r="CH84" s="18">
        <f t="shared" si="211"/>
        <v>1791.9867707323365</v>
      </c>
      <c r="CI84" s="18">
        <f t="shared" si="211"/>
        <v>1636.1034003216805</v>
      </c>
      <c r="CJ84" s="18">
        <f t="shared" si="211"/>
        <v>1526.696028793089</v>
      </c>
      <c r="CK84" s="18">
        <v>30</v>
      </c>
      <c r="CL84" s="18">
        <f t="shared" si="214"/>
        <v>304671.93415416632</v>
      </c>
      <c r="CM84" s="18">
        <f t="shared" si="215"/>
        <v>484762.15897538903</v>
      </c>
      <c r="CN84" s="18">
        <f t="shared" si="212"/>
        <v>789434.09312955535</v>
      </c>
    </row>
    <row r="85" spans="2:92" x14ac:dyDescent="0.25">
      <c r="H85" s="3">
        <f>IF('Summary Sheet'!$B$13=Working!$M$4,Working!C139,IF('Summary Sheet'!$B$13=Working!$M$3,Working!C100,IF('Summary Sheet'!$B$13=Working!$M$2,Working!C113,Working!C126)))</f>
        <v>1495.8969203969668</v>
      </c>
      <c r="I85" s="3">
        <f>IF('Summary Sheet'!$B$13=Working!$M$4,Working!D139,IF('Summary Sheet'!$B$13=Working!$M$3,Working!D100,IF('Summary Sheet'!$B$13=Working!$M$2,Working!D113,Working!D126)))</f>
        <v>1470.6462391325658</v>
      </c>
      <c r="J85" s="3">
        <f>IF('Summary Sheet'!$B$13=Working!$M$4,Working!E139,IF('Summary Sheet'!$B$13=Working!$M$3,Working!E100,IF('Summary Sheet'!$B$13=Working!$M$2,Working!E113,Working!E126)))</f>
        <v>1429.0923435111608</v>
      </c>
      <c r="K85" s="3">
        <f>IF('Summary Sheet'!$B$13=Working!$M$4,Working!F139,IF('Summary Sheet'!$B$13=Working!$M$3,Working!F100,IF('Summary Sheet'!$B$13=Working!$M$2,Working!F113,Working!F126)))</f>
        <v>1426.1378252556647</v>
      </c>
      <c r="L85" s="3">
        <f>IF('Summary Sheet'!$B$13=Working!$M$4,Working!G139,IF('Summary Sheet'!$B$13=Working!$M$3,Working!G100,IF('Summary Sheet'!$B$13=Working!$M$2,Working!G113,Working!G126)))</f>
        <v>1446.4485856466138</v>
      </c>
      <c r="M85" s="3">
        <f>IF('Summary Sheet'!$B$13=Working!$M$4,Working!H139,IF('Summary Sheet'!$B$13=Working!$M$3,Working!H100,IF('Summary Sheet'!$B$13=Working!$M$2,Working!H113,Working!H126)))</f>
        <v>1569.0783726926379</v>
      </c>
      <c r="N85" s="3">
        <f>IF('Summary Sheet'!$B$13=Working!$M$4,Working!I139,IF('Summary Sheet'!$B$13=Working!$M$3,Working!I100,IF('Summary Sheet'!$B$13=Working!$M$2,Working!I113,Working!I126)))</f>
        <v>1732.4498616953892</v>
      </c>
      <c r="O85" s="3">
        <f>IF('Summary Sheet'!$B$13=Working!$M$4,Working!J139,IF('Summary Sheet'!$B$13=Working!$M$3,Working!J100,IF('Summary Sheet'!$B$13=Working!$M$2,Working!J113,Working!J126)))</f>
        <v>1387.7034465507502</v>
      </c>
      <c r="P85" s="3">
        <f>IF('Summary Sheet'!$B$13=Working!$M$4,Working!K139,IF('Summary Sheet'!$B$13=Working!$M$3,Working!K100,IF('Summary Sheet'!$B$13=Working!$M$2,Working!K113,Working!K126)))</f>
        <v>957.1576452093808</v>
      </c>
      <c r="Q85" s="3">
        <f>IF('Summary Sheet'!$B$13=Working!$M$4,Working!L139,IF('Summary Sheet'!$B$13=Working!$M$3,Working!L100,IF('Summary Sheet'!$B$13=Working!$M$2,Working!L113,Working!L126)))</f>
        <v>1009.2752490956368</v>
      </c>
      <c r="R85" s="3">
        <f>IF('Summary Sheet'!$B$13=Working!$M$4,Working!M139,IF('Summary Sheet'!$B$13=Working!$M$3,Working!M100,IF('Summary Sheet'!$B$13=Working!$M$2,Working!M113,Working!M126)))</f>
        <v>1017.2838812459381</v>
      </c>
      <c r="S85" s="3">
        <f>IF('Summary Sheet'!$B$13=Working!$M$4,Working!N139,IF('Summary Sheet'!$B$13=Working!$M$3,Working!N100,IF('Summary Sheet'!$B$13=Working!$M$2,Working!N113,Working!N126)))</f>
        <v>987.95176175483221</v>
      </c>
      <c r="T85" s="3">
        <f>IF('Summary Sheet'!$B$13=Working!$M$4,Working!O139,IF('Summary Sheet'!$B$13=Working!$M$3,Working!O100,IF('Summary Sheet'!$B$13=Working!$M$2,Working!O113,Working!O126)))</f>
        <v>972.84107880355771</v>
      </c>
      <c r="U85" s="3">
        <f>IF('Summary Sheet'!$B$13=Working!$M$4,Working!P139,IF('Summary Sheet'!$B$13=Working!$M$3,Working!P100,IF('Summary Sheet'!$B$13=Working!$M$2,Working!P113,Working!P126)))</f>
        <v>958.72042971104349</v>
      </c>
      <c r="V85" s="3">
        <f>IF('Summary Sheet'!$B$13=Working!$M$4,Working!Q139,IF('Summary Sheet'!$B$13=Working!$M$3,Working!Q100,IF('Summary Sheet'!$B$13=Working!$M$2,Working!Q113,Working!Q126)))</f>
        <v>944.87461827402853</v>
      </c>
      <c r="W85" s="3">
        <f>IF('Summary Sheet'!$B$13=Working!$M$4,Working!R139,IF('Summary Sheet'!$B$13=Working!$M$3,Working!R100,IF('Summary Sheet'!$B$13=Working!$M$2,Working!R113,Working!R126)))</f>
        <v>941.25993122579541</v>
      </c>
      <c r="X85" s="3">
        <f>IF('Summary Sheet'!$B$13=Working!$M$4,Working!S139,IF('Summary Sheet'!$B$13=Working!$M$3,Working!S100,IF('Summary Sheet'!$B$13=Working!$M$2,Working!S113,Working!S126)))</f>
        <v>991.99640697757513</v>
      </c>
      <c r="Y85" s="3">
        <f>IF('Summary Sheet'!$B$13=Working!$M$4,Working!T139,IF('Summary Sheet'!$B$13=Working!$M$3,Working!T100,IF('Summary Sheet'!$B$13=Working!$M$2,Working!T113,Working!T126)))</f>
        <v>1877.2662092386904</v>
      </c>
      <c r="Z85" s="3">
        <f>IF('Summary Sheet'!$B$13=Working!$M$4,Working!U139,IF('Summary Sheet'!$B$13=Working!$M$3,Working!U100,IF('Summary Sheet'!$B$13=Working!$M$2,Working!U113,Working!U126)))</f>
        <v>2266.4498208875402</v>
      </c>
      <c r="AA85" s="3">
        <f>IF('Summary Sheet'!$B$13=Working!$M$4,Working!V139,IF('Summary Sheet'!$B$13=Working!$M$3,Working!V100,IF('Summary Sheet'!$B$13=Working!$M$2,Working!V113,Working!V126)))</f>
        <v>2301.1942547194435</v>
      </c>
      <c r="AB85" s="3">
        <f>IF('Summary Sheet'!$B$13=Working!$M$4,Working!W139,IF('Summary Sheet'!$B$13=Working!$M$3,Working!W100,IF('Summary Sheet'!$B$13=Working!$M$2,Working!W113,Working!W126)))</f>
        <v>2154.3290371056332</v>
      </c>
      <c r="AC85" s="3">
        <f>IF('Summary Sheet'!$B$13=Working!$M$4,Working!X139,IF('Summary Sheet'!$B$13=Working!$M$3,Working!X100,IF('Summary Sheet'!$B$13=Working!$M$2,Working!X113,Working!X126)))</f>
        <v>1791.9867707323365</v>
      </c>
      <c r="AD85" s="3">
        <f>IF('Summary Sheet'!$B$13=Working!$M$4,Working!Y139,IF('Summary Sheet'!$B$13=Working!$M$3,Working!Y100,IF('Summary Sheet'!$B$13=Working!$M$2,Working!Y113,Working!Y126)))</f>
        <v>1636.1034003216805</v>
      </c>
      <c r="AE85" s="3">
        <f>IF('Summary Sheet'!$B$13=Working!$M$4,Working!Z139,IF('Summary Sheet'!$B$13=Working!$M$3,Working!Z100,IF('Summary Sheet'!$B$13=Working!$M$2,Working!Z113,Working!Z126)))</f>
        <v>1526.696028793089</v>
      </c>
      <c r="AF85" s="18" t="s">
        <v>6</v>
      </c>
      <c r="AG85" s="17">
        <v>7</v>
      </c>
      <c r="AH85" s="22">
        <v>4.65508064516129E-2</v>
      </c>
      <c r="AI85" s="22">
        <v>3.664370967741936E-2</v>
      </c>
      <c r="AJ85" s="22">
        <v>2.688177419354839E-2</v>
      </c>
      <c r="AK85" s="22">
        <v>2.146661290322581E-2</v>
      </c>
      <c r="AL85" s="22">
        <v>1.8510161290322579E-2</v>
      </c>
      <c r="AM85" s="22">
        <v>2.295177419354839E-2</v>
      </c>
      <c r="AN85" s="22">
        <v>4.3894354838709668E-2</v>
      </c>
      <c r="AO85" s="22">
        <v>7.8559838709677435E-2</v>
      </c>
      <c r="AP85" s="22">
        <v>0.10966354838709676</v>
      </c>
      <c r="AQ85" s="22">
        <v>0.11174129032258065</v>
      </c>
      <c r="AR85" s="22">
        <v>9.258822580645161E-2</v>
      </c>
      <c r="AS85" s="22">
        <v>7.0815645161290325E-2</v>
      </c>
      <c r="AT85" s="22">
        <v>5.9936290322580632E-2</v>
      </c>
      <c r="AU85" s="22">
        <v>5.7940483870967743E-2</v>
      </c>
      <c r="AV85" s="22">
        <v>5.7034677419354834E-2</v>
      </c>
      <c r="AW85" s="22">
        <v>5.7245322580645158E-2</v>
      </c>
      <c r="AX85" s="22">
        <v>6.0341129032258085E-2</v>
      </c>
      <c r="AY85" s="22">
        <v>8.0055161290322585E-2</v>
      </c>
      <c r="AZ85" s="22">
        <v>0.1316177419354839</v>
      </c>
      <c r="BA85" s="22">
        <v>8.7954193548387086E-2</v>
      </c>
      <c r="BB85" s="22">
        <v>8.6249677419354839E-2</v>
      </c>
      <c r="BC85" s="22">
        <v>6.9338548387096771E-2</v>
      </c>
      <c r="BD85" s="22">
        <v>6.6349677419354866E-2</v>
      </c>
      <c r="BE85" s="22">
        <v>5.7633387096774201E-2</v>
      </c>
      <c r="BF85" s="18">
        <v>31</v>
      </c>
      <c r="BK85" s="18" t="s">
        <v>6</v>
      </c>
      <c r="BL85" s="17">
        <v>7</v>
      </c>
      <c r="BM85" s="18">
        <f t="shared" si="213"/>
        <v>1473.1255029168574</v>
      </c>
      <c r="BN85" s="18">
        <f t="shared" si="211"/>
        <v>1463.561046663945</v>
      </c>
      <c r="BO85" s="18">
        <f t="shared" si="211"/>
        <v>1420.1292769660429</v>
      </c>
      <c r="BP85" s="18">
        <f t="shared" si="211"/>
        <v>1415.9054873735836</v>
      </c>
      <c r="BQ85" s="18">
        <f t="shared" si="211"/>
        <v>1436.8777741007443</v>
      </c>
      <c r="BR85" s="18">
        <f t="shared" si="211"/>
        <v>1555.3515444052132</v>
      </c>
      <c r="BS85" s="18">
        <f t="shared" si="211"/>
        <v>1713.6153900902586</v>
      </c>
      <c r="BT85" s="18">
        <f t="shared" si="211"/>
        <v>1350.3532225641318</v>
      </c>
      <c r="BU85" s="18">
        <f t="shared" si="211"/>
        <v>806.44047804323895</v>
      </c>
      <c r="BV85" s="18">
        <f t="shared" si="211"/>
        <v>0</v>
      </c>
      <c r="BW85" s="18">
        <f t="shared" si="211"/>
        <v>0</v>
      </c>
      <c r="BX85" s="18">
        <f t="shared" si="211"/>
        <v>0</v>
      </c>
      <c r="BY85" s="18">
        <f t="shared" si="211"/>
        <v>0</v>
      </c>
      <c r="BZ85" s="18">
        <f t="shared" si="211"/>
        <v>0</v>
      </c>
      <c r="CA85" s="18">
        <f t="shared" si="211"/>
        <v>0</v>
      </c>
      <c r="CB85" s="18">
        <f t="shared" si="211"/>
        <v>0</v>
      </c>
      <c r="CC85" s="18">
        <f t="shared" si="211"/>
        <v>0</v>
      </c>
      <c r="CD85" s="18">
        <f t="shared" si="211"/>
        <v>1500.682637257944</v>
      </c>
      <c r="CE85" s="18">
        <f t="shared" si="211"/>
        <v>2315.2045351805664</v>
      </c>
      <c r="CF85" s="18">
        <f t="shared" si="211"/>
        <v>2304.9006900844247</v>
      </c>
      <c r="CG85" s="18">
        <f t="shared" si="211"/>
        <v>1970.2405812577181</v>
      </c>
      <c r="CH85" s="18">
        <f t="shared" si="211"/>
        <v>1697.4654569416284</v>
      </c>
      <c r="CI85" s="18">
        <f t="shared" si="211"/>
        <v>1583.9976938042623</v>
      </c>
      <c r="CJ85" s="18">
        <f t="shared" si="211"/>
        <v>1501.570408079474</v>
      </c>
      <c r="CK85" s="18">
        <v>31</v>
      </c>
      <c r="CL85" s="18">
        <f t="shared" si="214"/>
        <v>299577.03153510811</v>
      </c>
      <c r="CM85" s="18">
        <f t="shared" si="215"/>
        <v>491215.0419625229</v>
      </c>
      <c r="CN85" s="18">
        <f t="shared" si="212"/>
        <v>790792.07349763101</v>
      </c>
    </row>
    <row r="86" spans="2:92" x14ac:dyDescent="0.25">
      <c r="H86" s="3">
        <f>IF('Summary Sheet'!$B$13=Working!$M$4,Working!C140,IF('Summary Sheet'!$B$13=Working!$M$3,Working!C101,IF('Summary Sheet'!$B$13=Working!$M$2,Working!C114,Working!C127)))</f>
        <v>1473.1255029168574</v>
      </c>
      <c r="I86" s="3">
        <f>IF('Summary Sheet'!$B$13=Working!$M$4,Working!D140,IF('Summary Sheet'!$B$13=Working!$M$3,Working!D101,IF('Summary Sheet'!$B$13=Working!$M$2,Working!D114,Working!D127)))</f>
        <v>1463.561046663945</v>
      </c>
      <c r="J86" s="3">
        <f>IF('Summary Sheet'!$B$13=Working!$M$4,Working!E140,IF('Summary Sheet'!$B$13=Working!$M$3,Working!E101,IF('Summary Sheet'!$B$13=Working!$M$2,Working!E114,Working!E127)))</f>
        <v>1420.1292769660429</v>
      </c>
      <c r="K86" s="3">
        <f>IF('Summary Sheet'!$B$13=Working!$M$4,Working!F140,IF('Summary Sheet'!$B$13=Working!$M$3,Working!F101,IF('Summary Sheet'!$B$13=Working!$M$2,Working!F114,Working!F127)))</f>
        <v>1415.9054873735836</v>
      </c>
      <c r="L86" s="3">
        <f>IF('Summary Sheet'!$B$13=Working!$M$4,Working!G140,IF('Summary Sheet'!$B$13=Working!$M$3,Working!G101,IF('Summary Sheet'!$B$13=Working!$M$2,Working!G114,Working!G127)))</f>
        <v>1436.8777741007443</v>
      </c>
      <c r="M86" s="3">
        <f>IF('Summary Sheet'!$B$13=Working!$M$4,Working!H140,IF('Summary Sheet'!$B$13=Working!$M$3,Working!H101,IF('Summary Sheet'!$B$13=Working!$M$2,Working!H114,Working!H127)))</f>
        <v>1555.3515444052132</v>
      </c>
      <c r="N86" s="3">
        <f>IF('Summary Sheet'!$B$13=Working!$M$4,Working!I140,IF('Summary Sheet'!$B$13=Working!$M$3,Working!I101,IF('Summary Sheet'!$B$13=Working!$M$2,Working!I114,Working!I127)))</f>
        <v>1713.6153900902586</v>
      </c>
      <c r="O86" s="3">
        <f>IF('Summary Sheet'!$B$13=Working!$M$4,Working!J140,IF('Summary Sheet'!$B$13=Working!$M$3,Working!J101,IF('Summary Sheet'!$B$13=Working!$M$2,Working!J114,Working!J127)))</f>
        <v>1350.3532225641318</v>
      </c>
      <c r="P86" s="3">
        <f>IF('Summary Sheet'!$B$13=Working!$M$4,Working!K140,IF('Summary Sheet'!$B$13=Working!$M$3,Working!K101,IF('Summary Sheet'!$B$13=Working!$M$2,Working!K114,Working!K127)))</f>
        <v>944.47599804323897</v>
      </c>
      <c r="Q86" s="3">
        <f>IF('Summary Sheet'!$B$13=Working!$M$4,Working!L140,IF('Summary Sheet'!$B$13=Working!$M$3,Working!L101,IF('Summary Sheet'!$B$13=Working!$M$2,Working!L114,Working!L127)))</f>
        <v>1004.2820260602253</v>
      </c>
      <c r="R86" s="3">
        <f>IF('Summary Sheet'!$B$13=Working!$M$4,Working!M140,IF('Summary Sheet'!$B$13=Working!$M$3,Working!M101,IF('Summary Sheet'!$B$13=Working!$M$2,Working!M114,Working!M127)))</f>
        <v>1013.2694348244303</v>
      </c>
      <c r="S86" s="3">
        <f>IF('Summary Sheet'!$B$13=Working!$M$4,Working!N140,IF('Summary Sheet'!$B$13=Working!$M$3,Working!N101,IF('Summary Sheet'!$B$13=Working!$M$2,Working!N114,Working!N127)))</f>
        <v>989.91358359229798</v>
      </c>
      <c r="T86" s="3">
        <f>IF('Summary Sheet'!$B$13=Working!$M$4,Working!O140,IF('Summary Sheet'!$B$13=Working!$M$3,Working!O101,IF('Summary Sheet'!$B$13=Working!$M$2,Working!O114,Working!O127)))</f>
        <v>973.17435784018085</v>
      </c>
      <c r="U86" s="3">
        <f>IF('Summary Sheet'!$B$13=Working!$M$4,Working!P140,IF('Summary Sheet'!$B$13=Working!$M$3,Working!P101,IF('Summary Sheet'!$B$13=Working!$M$2,Working!P114,Working!P127)))</f>
        <v>960.04833655336836</v>
      </c>
      <c r="V86" s="3">
        <f>IF('Summary Sheet'!$B$13=Working!$M$4,Working!Q140,IF('Summary Sheet'!$B$13=Working!$M$3,Working!Q101,IF('Summary Sheet'!$B$13=Working!$M$2,Working!Q114,Working!Q127)))</f>
        <v>945.88059546136287</v>
      </c>
      <c r="W86" s="3">
        <f>IF('Summary Sheet'!$B$13=Working!$M$4,Working!R140,IF('Summary Sheet'!$B$13=Working!$M$3,Working!R101,IF('Summary Sheet'!$B$13=Working!$M$2,Working!R114,Working!R127)))</f>
        <v>950.1750108880824</v>
      </c>
      <c r="X86" s="3">
        <f>IF('Summary Sheet'!$B$13=Working!$M$4,Working!S140,IF('Summary Sheet'!$B$13=Working!$M$3,Working!S101,IF('Summary Sheet'!$B$13=Working!$M$2,Working!S114,Working!S127)))</f>
        <v>990.14766175880652</v>
      </c>
      <c r="Y86" s="3">
        <f>IF('Summary Sheet'!$B$13=Working!$M$4,Working!T140,IF('Summary Sheet'!$B$13=Working!$M$3,Working!T101,IF('Summary Sheet'!$B$13=Working!$M$2,Working!T114,Working!T127)))</f>
        <v>1737.3149572579439</v>
      </c>
      <c r="Z86" s="3">
        <f>IF('Summary Sheet'!$B$13=Working!$M$4,Working!U140,IF('Summary Sheet'!$B$13=Working!$M$3,Working!U101,IF('Summary Sheet'!$B$13=Working!$M$2,Working!U114,Working!U127)))</f>
        <v>2321.7776551805664</v>
      </c>
      <c r="AA86" s="3">
        <f>IF('Summary Sheet'!$B$13=Working!$M$4,Working!V140,IF('Summary Sheet'!$B$13=Working!$M$3,Working!V101,IF('Summary Sheet'!$B$13=Working!$M$2,Working!V114,Working!V127)))</f>
        <v>2304.9006900844247</v>
      </c>
      <c r="AB86" s="3">
        <f>IF('Summary Sheet'!$B$13=Working!$M$4,Working!W140,IF('Summary Sheet'!$B$13=Working!$M$3,Working!W101,IF('Summary Sheet'!$B$13=Working!$M$2,Working!W114,Working!W127)))</f>
        <v>1970.2405812577181</v>
      </c>
      <c r="AC86" s="3">
        <f>IF('Summary Sheet'!$B$13=Working!$M$4,Working!X140,IF('Summary Sheet'!$B$13=Working!$M$3,Working!X101,IF('Summary Sheet'!$B$13=Working!$M$2,Working!X114,Working!X127)))</f>
        <v>1697.4654569416284</v>
      </c>
      <c r="AD86" s="3">
        <f>IF('Summary Sheet'!$B$13=Working!$M$4,Working!Y140,IF('Summary Sheet'!$B$13=Working!$M$3,Working!Y101,IF('Summary Sheet'!$B$13=Working!$M$2,Working!Y114,Working!Y127)))</f>
        <v>1583.9976938042623</v>
      </c>
      <c r="AE86" s="3">
        <f>IF('Summary Sheet'!$B$13=Working!$M$4,Working!Z140,IF('Summary Sheet'!$B$13=Working!$M$3,Working!Z101,IF('Summary Sheet'!$B$13=Working!$M$2,Working!Z114,Working!Z127)))</f>
        <v>1501.570408079474</v>
      </c>
      <c r="AF86" s="18" t="s">
        <v>7</v>
      </c>
      <c r="AG86" s="17">
        <v>8</v>
      </c>
      <c r="AH86" s="22">
        <v>3.6251774193548393E-2</v>
      </c>
      <c r="AI86" s="22">
        <v>2.8820322580645163E-2</v>
      </c>
      <c r="AJ86" s="22">
        <v>2.286048387096774E-2</v>
      </c>
      <c r="AK86" s="22">
        <v>1.9613064516129024E-2</v>
      </c>
      <c r="AL86" s="22">
        <v>1.7775161290322576E-2</v>
      </c>
      <c r="AM86" s="22">
        <v>2.2720806451612903E-2</v>
      </c>
      <c r="AN86" s="22">
        <v>3.753870967741936E-2</v>
      </c>
      <c r="AO86" s="22">
        <v>7.1962580645161284E-2</v>
      </c>
      <c r="AP86" s="22">
        <v>6.8819999999999992E-2</v>
      </c>
      <c r="AQ86" s="22">
        <v>5.1136935483870972E-2</v>
      </c>
      <c r="AR86" s="22">
        <v>4.5290645161290326E-2</v>
      </c>
      <c r="AS86" s="22">
        <v>3.7691129032258075E-2</v>
      </c>
      <c r="AT86" s="22">
        <v>3.4474193548387086E-2</v>
      </c>
      <c r="AU86" s="22">
        <v>3.4909193548387105E-2</v>
      </c>
      <c r="AV86" s="22">
        <v>3.4105645161290318E-2</v>
      </c>
      <c r="AW86" s="22">
        <v>3.5032903225806461E-2</v>
      </c>
      <c r="AX86" s="22">
        <v>4.2879193548387089E-2</v>
      </c>
      <c r="AY86" s="22">
        <v>4.9287419354838706E-2</v>
      </c>
      <c r="AZ86" s="22">
        <v>8.3476129032258026E-2</v>
      </c>
      <c r="BA86" s="22">
        <v>7.4778225806451618E-2</v>
      </c>
      <c r="BB86" s="22">
        <v>5.9378064516129037E-2</v>
      </c>
      <c r="BC86" s="22">
        <v>4.7654354838709674E-2</v>
      </c>
      <c r="BD86" s="22">
        <v>4.3870645161290321E-2</v>
      </c>
      <c r="BE86" s="22">
        <v>3.7275806451612908E-2</v>
      </c>
      <c r="BF86" s="18">
        <v>31</v>
      </c>
      <c r="BK86" s="18" t="s">
        <v>7</v>
      </c>
      <c r="BL86" s="17">
        <v>8</v>
      </c>
      <c r="BM86" s="18">
        <f t="shared" si="213"/>
        <v>1475.1362435692504</v>
      </c>
      <c r="BN86" s="18">
        <f t="shared" si="211"/>
        <v>1461.5336739443576</v>
      </c>
      <c r="BO86" s="18">
        <f t="shared" si="211"/>
        <v>1418.7643938746685</v>
      </c>
      <c r="BP86" s="18">
        <f t="shared" si="211"/>
        <v>1418.3844779379635</v>
      </c>
      <c r="BQ86" s="18">
        <f t="shared" si="211"/>
        <v>1442.7804916251357</v>
      </c>
      <c r="BR86" s="18">
        <f t="shared" si="211"/>
        <v>1559.4497295094952</v>
      </c>
      <c r="BS86" s="18">
        <f t="shared" si="211"/>
        <v>1675.5758333967531</v>
      </c>
      <c r="BT86" s="18">
        <f t="shared" si="211"/>
        <v>962.20979964041601</v>
      </c>
      <c r="BU86" s="18">
        <f t="shared" si="211"/>
        <v>535.10793134755443</v>
      </c>
      <c r="BV86" s="18">
        <f t="shared" si="211"/>
        <v>0</v>
      </c>
      <c r="BW86" s="18">
        <f t="shared" si="211"/>
        <v>0</v>
      </c>
      <c r="BX86" s="18">
        <f t="shared" si="211"/>
        <v>0</v>
      </c>
      <c r="BY86" s="18">
        <f t="shared" si="211"/>
        <v>0</v>
      </c>
      <c r="BZ86" s="18">
        <f t="shared" si="211"/>
        <v>0</v>
      </c>
      <c r="CA86" s="18">
        <f t="shared" si="211"/>
        <v>0</v>
      </c>
      <c r="CB86" s="18">
        <f t="shared" si="211"/>
        <v>0</v>
      </c>
      <c r="CC86" s="18">
        <f t="shared" si="211"/>
        <v>0</v>
      </c>
      <c r="CD86" s="18">
        <f t="shared" si="211"/>
        <v>719.70020562504999</v>
      </c>
      <c r="CE86" s="18">
        <f t="shared" si="211"/>
        <v>2232.1475721147167</v>
      </c>
      <c r="CF86" s="18">
        <f t="shared" si="211"/>
        <v>2300.1741504938718</v>
      </c>
      <c r="CG86" s="18">
        <f t="shared" si="211"/>
        <v>2005.8531793098759</v>
      </c>
      <c r="CH86" s="18">
        <f t="shared" si="211"/>
        <v>1680.5647273099441</v>
      </c>
      <c r="CI86" s="18">
        <f t="shared" si="211"/>
        <v>1588.2605529679106</v>
      </c>
      <c r="CJ86" s="18">
        <f t="shared" si="211"/>
        <v>1500.5652439318847</v>
      </c>
      <c r="CK86" s="18">
        <v>31</v>
      </c>
      <c r="CL86" s="18">
        <f t="shared" si="214"/>
        <v>266246.11548792111</v>
      </c>
      <c r="CM86" s="18">
        <f t="shared" si="215"/>
        <v>477016.33891664312</v>
      </c>
      <c r="CN86" s="18">
        <f t="shared" si="212"/>
        <v>743262.45440456423</v>
      </c>
    </row>
    <row r="87" spans="2:92" x14ac:dyDescent="0.25">
      <c r="H87" s="3">
        <f>IF('Summary Sheet'!$B$13=Working!$M$4,Working!C141,IF('Summary Sheet'!$B$13=Working!$M$3,Working!C102,IF('Summary Sheet'!$B$13=Working!$M$2,Working!C115,Working!C128)))</f>
        <v>1475.1362435692504</v>
      </c>
      <c r="I87" s="3">
        <f>IF('Summary Sheet'!$B$13=Working!$M$4,Working!D141,IF('Summary Sheet'!$B$13=Working!$M$3,Working!D102,IF('Summary Sheet'!$B$13=Working!$M$2,Working!D115,Working!D128)))</f>
        <v>1461.5336739443576</v>
      </c>
      <c r="J87" s="3">
        <f>IF('Summary Sheet'!$B$13=Working!$M$4,Working!E141,IF('Summary Sheet'!$B$13=Working!$M$3,Working!E102,IF('Summary Sheet'!$B$13=Working!$M$2,Working!E115,Working!E128)))</f>
        <v>1418.7643938746685</v>
      </c>
      <c r="K87" s="3">
        <f>IF('Summary Sheet'!$B$13=Working!$M$4,Working!F141,IF('Summary Sheet'!$B$13=Working!$M$3,Working!F102,IF('Summary Sheet'!$B$13=Working!$M$2,Working!F115,Working!F128)))</f>
        <v>1418.3844779379635</v>
      </c>
      <c r="L87" s="3">
        <f>IF('Summary Sheet'!$B$13=Working!$M$4,Working!G141,IF('Summary Sheet'!$B$13=Working!$M$3,Working!G102,IF('Summary Sheet'!$B$13=Working!$M$2,Working!G115,Working!G128)))</f>
        <v>1442.7804916251357</v>
      </c>
      <c r="M87" s="3">
        <f>IF('Summary Sheet'!$B$13=Working!$M$4,Working!H141,IF('Summary Sheet'!$B$13=Working!$M$3,Working!H102,IF('Summary Sheet'!$B$13=Working!$M$2,Working!H115,Working!H128)))</f>
        <v>1559.4497295094952</v>
      </c>
      <c r="N87" s="3">
        <f>IF('Summary Sheet'!$B$13=Working!$M$4,Working!I141,IF('Summary Sheet'!$B$13=Working!$M$3,Working!I102,IF('Summary Sheet'!$B$13=Working!$M$2,Working!I115,Working!I128)))</f>
        <v>1675.5758333967531</v>
      </c>
      <c r="O87" s="3">
        <f>IF('Summary Sheet'!$B$13=Working!$M$4,Working!J141,IF('Summary Sheet'!$B$13=Working!$M$3,Working!J102,IF('Summary Sheet'!$B$13=Working!$M$2,Working!J115,Working!J128)))</f>
        <v>988.50227964041596</v>
      </c>
      <c r="P87" s="3">
        <f>IF('Summary Sheet'!$B$13=Working!$M$4,Working!K141,IF('Summary Sheet'!$B$13=Working!$M$3,Working!K102,IF('Summary Sheet'!$B$13=Working!$M$2,Working!K115,Working!K128)))</f>
        <v>929.49513134755421</v>
      </c>
      <c r="Q87" s="3">
        <f>IF('Summary Sheet'!$B$13=Working!$M$4,Working!L141,IF('Summary Sheet'!$B$13=Working!$M$3,Working!L102,IF('Summary Sheet'!$B$13=Working!$M$2,Working!L115,Working!L128)))</f>
        <v>989.51102887450793</v>
      </c>
      <c r="R87" s="3">
        <f>IF('Summary Sheet'!$B$13=Working!$M$4,Working!M141,IF('Summary Sheet'!$B$13=Working!$M$3,Working!M102,IF('Summary Sheet'!$B$13=Working!$M$2,Working!M115,Working!M128)))</f>
        <v>1001.3850536533893</v>
      </c>
      <c r="S87" s="3">
        <f>IF('Summary Sheet'!$B$13=Working!$M$4,Working!N141,IF('Summary Sheet'!$B$13=Working!$M$3,Working!N102,IF('Summary Sheet'!$B$13=Working!$M$2,Working!N115,Working!N128)))</f>
        <v>980.42808583480291</v>
      </c>
      <c r="T87" s="3">
        <f>IF('Summary Sheet'!$B$13=Working!$M$4,Working!O141,IF('Summary Sheet'!$B$13=Working!$M$3,Working!O102,IF('Summary Sheet'!$B$13=Working!$M$2,Working!O115,Working!O128)))</f>
        <v>963.75082914581913</v>
      </c>
      <c r="U87" s="3">
        <f>IF('Summary Sheet'!$B$13=Working!$M$4,Working!P141,IF('Summary Sheet'!$B$13=Working!$M$3,Working!P102,IF('Summary Sheet'!$B$13=Working!$M$2,Working!P115,Working!P128)))</f>
        <v>951.42392251643639</v>
      </c>
      <c r="V87" s="3">
        <f>IF('Summary Sheet'!$B$13=Working!$M$4,Working!Q141,IF('Summary Sheet'!$B$13=Working!$M$3,Working!Q102,IF('Summary Sheet'!$B$13=Working!$M$2,Working!Q115,Working!Q128)))</f>
        <v>945.5820595646461</v>
      </c>
      <c r="W87" s="3">
        <f>IF('Summary Sheet'!$B$13=Working!$M$4,Working!R141,IF('Summary Sheet'!$B$13=Working!$M$3,Working!R102,IF('Summary Sheet'!$B$13=Working!$M$2,Working!R115,Working!R128)))</f>
        <v>932.01691831604001</v>
      </c>
      <c r="X87" s="3">
        <f>IF('Summary Sheet'!$B$13=Working!$M$4,Working!S141,IF('Summary Sheet'!$B$13=Working!$M$3,Working!S102,IF('Summary Sheet'!$B$13=Working!$M$2,Working!S115,Working!S128)))</f>
        <v>964.49159946486941</v>
      </c>
      <c r="Y87" s="3">
        <f>IF('Summary Sheet'!$B$13=Working!$M$4,Working!T141,IF('Summary Sheet'!$B$13=Working!$M$3,Working!T102,IF('Summary Sheet'!$B$13=Working!$M$2,Working!T115,Working!T128)))</f>
        <v>1232.4035656250496</v>
      </c>
      <c r="Z87" s="3">
        <f>IF('Summary Sheet'!$B$13=Working!$M$4,Working!U141,IF('Summary Sheet'!$B$13=Working!$M$3,Working!U102,IF('Summary Sheet'!$B$13=Working!$M$2,Working!U115,Working!U128)))</f>
        <v>2278.1594121147168</v>
      </c>
      <c r="AA87" s="3">
        <f>IF('Summary Sheet'!$B$13=Working!$M$4,Working!V141,IF('Summary Sheet'!$B$13=Working!$M$3,Working!V102,IF('Summary Sheet'!$B$13=Working!$M$2,Working!V115,Working!V128)))</f>
        <v>2300.1741504938718</v>
      </c>
      <c r="AB87" s="3">
        <f>IF('Summary Sheet'!$B$13=Working!$M$4,Working!W141,IF('Summary Sheet'!$B$13=Working!$M$3,Working!W102,IF('Summary Sheet'!$B$13=Working!$M$2,Working!W115,Working!W128)))</f>
        <v>2005.8531793098759</v>
      </c>
      <c r="AC87" s="3">
        <f>IF('Summary Sheet'!$B$13=Working!$M$4,Working!X141,IF('Summary Sheet'!$B$13=Working!$M$3,Working!X102,IF('Summary Sheet'!$B$13=Working!$M$2,Working!X115,Working!X128)))</f>
        <v>1680.5647273099441</v>
      </c>
      <c r="AD87" s="3">
        <f>IF('Summary Sheet'!$B$13=Working!$M$4,Working!Y141,IF('Summary Sheet'!$B$13=Working!$M$3,Working!Y102,IF('Summary Sheet'!$B$13=Working!$M$2,Working!Y115,Working!Y128)))</f>
        <v>1588.2605529679106</v>
      </c>
      <c r="AE87" s="3">
        <f>IF('Summary Sheet'!$B$13=Working!$M$4,Working!Z141,IF('Summary Sheet'!$B$13=Working!$M$3,Working!Z102,IF('Summary Sheet'!$B$13=Working!$M$2,Working!Z115,Working!Z128)))</f>
        <v>1500.5652439318847</v>
      </c>
      <c r="AF87" s="18" t="s">
        <v>8</v>
      </c>
      <c r="AG87" s="17">
        <v>9</v>
      </c>
      <c r="AH87" s="22">
        <v>3.7319499999999999E-2</v>
      </c>
      <c r="AI87" s="22">
        <v>3.1342499999999995E-2</v>
      </c>
      <c r="AJ87" s="22">
        <v>2.7500333333333331E-2</v>
      </c>
      <c r="AK87" s="22">
        <v>2.4075833333333338E-2</v>
      </c>
      <c r="AL87" s="22">
        <v>2.2820833333333335E-2</v>
      </c>
      <c r="AM87" s="22">
        <v>2.6723E-2</v>
      </c>
      <c r="AN87" s="22">
        <v>3.5051333333333323E-2</v>
      </c>
      <c r="AO87" s="22">
        <v>4.6573999999999997E-2</v>
      </c>
      <c r="AP87" s="22">
        <v>5.3012166666666666E-2</v>
      </c>
      <c r="AQ87" s="22">
        <v>5.228816666666667E-2</v>
      </c>
      <c r="AR87" s="22">
        <v>4.5713833333333329E-2</v>
      </c>
      <c r="AS87" s="22">
        <v>4.0657833333333331E-2</v>
      </c>
      <c r="AT87" s="22">
        <v>3.8228666666666668E-2</v>
      </c>
      <c r="AU87" s="22">
        <v>3.6230666666666661E-2</v>
      </c>
      <c r="AV87" s="22">
        <v>3.7983000000000003E-2</v>
      </c>
      <c r="AW87" s="22">
        <v>3.896733333333334E-2</v>
      </c>
      <c r="AX87" s="22">
        <v>4.1951333333333327E-2</v>
      </c>
      <c r="AY87" s="22">
        <v>4.4676999999999994E-2</v>
      </c>
      <c r="AZ87" s="22">
        <v>6.267883333333335E-2</v>
      </c>
      <c r="BA87" s="22">
        <v>6.5341166666666672E-2</v>
      </c>
      <c r="BB87" s="22">
        <v>5.134533333333334E-2</v>
      </c>
      <c r="BC87" s="22">
        <v>4.4271999999999992E-2</v>
      </c>
      <c r="BD87" s="22">
        <v>4.0137833333333331E-2</v>
      </c>
      <c r="BE87" s="22">
        <v>3.9539499999999998E-2</v>
      </c>
      <c r="BF87" s="18">
        <v>30</v>
      </c>
      <c r="BK87" s="18" t="s">
        <v>8</v>
      </c>
      <c r="BL87" s="17">
        <v>9</v>
      </c>
      <c r="BM87" s="18">
        <f t="shared" si="213"/>
        <v>1467.9988706951333</v>
      </c>
      <c r="BN87" s="18">
        <f t="shared" si="211"/>
        <v>1441.9558403604269</v>
      </c>
      <c r="BO87" s="18">
        <f t="shared" si="211"/>
        <v>1397.9322433144662</v>
      </c>
      <c r="BP87" s="18">
        <f t="shared" si="211"/>
        <v>1397.5599104096782</v>
      </c>
      <c r="BQ87" s="18">
        <f t="shared" si="211"/>
        <v>1421.0678607144027</v>
      </c>
      <c r="BR87" s="18">
        <f t="shared" si="211"/>
        <v>1530.1032097276877</v>
      </c>
      <c r="BS87" s="18">
        <f t="shared" si="211"/>
        <v>1023.7041241963764</v>
      </c>
      <c r="BT87" s="18">
        <f t="shared" si="211"/>
        <v>627.10605292350181</v>
      </c>
      <c r="BU87" s="18">
        <f t="shared" si="211"/>
        <v>0</v>
      </c>
      <c r="BV87" s="18">
        <f t="shared" si="211"/>
        <v>0</v>
      </c>
      <c r="BW87" s="18">
        <f t="shared" si="211"/>
        <v>0</v>
      </c>
      <c r="BX87" s="18">
        <f t="shared" si="211"/>
        <v>0</v>
      </c>
      <c r="BY87" s="18">
        <f t="shared" si="211"/>
        <v>0</v>
      </c>
      <c r="BZ87" s="18">
        <f t="shared" si="211"/>
        <v>0</v>
      </c>
      <c r="CA87" s="18">
        <f t="shared" si="211"/>
        <v>0</v>
      </c>
      <c r="CB87" s="18">
        <f t="shared" si="211"/>
        <v>0</v>
      </c>
      <c r="CC87" s="18">
        <f t="shared" si="211"/>
        <v>0</v>
      </c>
      <c r="CD87" s="18">
        <f t="shared" si="211"/>
        <v>0</v>
      </c>
      <c r="CE87" s="18">
        <f t="shared" si="211"/>
        <v>1583.7805570676019</v>
      </c>
      <c r="CF87" s="18">
        <f t="shared" si="211"/>
        <v>1922.5544281119842</v>
      </c>
      <c r="CG87" s="18">
        <f t="shared" si="211"/>
        <v>1814.4597241895262</v>
      </c>
      <c r="CH87" s="18">
        <f t="shared" si="211"/>
        <v>1589.5507883677537</v>
      </c>
      <c r="CI87" s="18">
        <f t="shared" si="211"/>
        <v>1515.8058390687295</v>
      </c>
      <c r="CJ87" s="18">
        <f t="shared" si="211"/>
        <v>1492.3635927435166</v>
      </c>
      <c r="CK87" s="18">
        <v>30</v>
      </c>
      <c r="CL87" s="18">
        <f t="shared" si="214"/>
        <v>193998.37263705212</v>
      </c>
      <c r="CM87" s="18">
        <f t="shared" si="215"/>
        <v>412779.91861967149</v>
      </c>
      <c r="CN87" s="18">
        <f t="shared" si="212"/>
        <v>606778.29125672358</v>
      </c>
    </row>
    <row r="88" spans="2:92" x14ac:dyDescent="0.25">
      <c r="H88" s="3">
        <f>IF('Summary Sheet'!$B$13=Working!$M$4,Working!C142,IF('Summary Sheet'!$B$13=Working!$M$3,Working!C103,IF('Summary Sheet'!$B$13=Working!$M$2,Working!C116,Working!C129)))</f>
        <v>1467.9988706951333</v>
      </c>
      <c r="I88" s="3">
        <f>IF('Summary Sheet'!$B$13=Working!$M$4,Working!D142,IF('Summary Sheet'!$B$13=Working!$M$3,Working!D103,IF('Summary Sheet'!$B$13=Working!$M$2,Working!D116,Working!D129)))</f>
        <v>1441.9558403604269</v>
      </c>
      <c r="J88" s="3">
        <f>IF('Summary Sheet'!$B$13=Working!$M$4,Working!E142,IF('Summary Sheet'!$B$13=Working!$M$3,Working!E103,IF('Summary Sheet'!$B$13=Working!$M$2,Working!E116,Working!E129)))</f>
        <v>1397.9322433144662</v>
      </c>
      <c r="K88" s="3">
        <f>IF('Summary Sheet'!$B$13=Working!$M$4,Working!F142,IF('Summary Sheet'!$B$13=Working!$M$3,Working!F103,IF('Summary Sheet'!$B$13=Working!$M$2,Working!F116,Working!F129)))</f>
        <v>1397.5599104096782</v>
      </c>
      <c r="L88" s="3">
        <f>IF('Summary Sheet'!$B$13=Working!$M$4,Working!G142,IF('Summary Sheet'!$B$13=Working!$M$3,Working!G103,IF('Summary Sheet'!$B$13=Working!$M$2,Working!G116,Working!G129)))</f>
        <v>1421.0678607144027</v>
      </c>
      <c r="M88" s="3">
        <f>IF('Summary Sheet'!$B$13=Working!$M$4,Working!H142,IF('Summary Sheet'!$B$13=Working!$M$3,Working!H103,IF('Summary Sheet'!$B$13=Working!$M$2,Working!H116,Working!H129)))</f>
        <v>1530.1032097276877</v>
      </c>
      <c r="N88" s="3">
        <f>IF('Summary Sheet'!$B$13=Working!$M$4,Working!I142,IF('Summary Sheet'!$B$13=Working!$M$3,Working!I103,IF('Summary Sheet'!$B$13=Working!$M$2,Working!I116,Working!I129)))</f>
        <v>1030.2772441963764</v>
      </c>
      <c r="O88" s="3">
        <f>IF('Summary Sheet'!$B$13=Working!$M$4,Working!J142,IF('Summary Sheet'!$B$13=Working!$M$3,Working!J103,IF('Summary Sheet'!$B$13=Working!$M$2,Working!J116,Working!J129)))</f>
        <v>811.15341292350195</v>
      </c>
      <c r="P88" s="3">
        <f>IF('Summary Sheet'!$B$13=Working!$M$4,Working!K142,IF('Summary Sheet'!$B$13=Working!$M$3,Working!K103,IF('Summary Sheet'!$B$13=Working!$M$2,Working!K116,Working!K129)))</f>
        <v>851.99560478828039</v>
      </c>
      <c r="Q88" s="3">
        <f>IF('Summary Sheet'!$B$13=Working!$M$4,Working!L142,IF('Summary Sheet'!$B$13=Working!$M$3,Working!L103,IF('Summary Sheet'!$B$13=Working!$M$2,Working!L116,Working!L129)))</f>
        <v>906.13372091090935</v>
      </c>
      <c r="R88" s="3">
        <f>IF('Summary Sheet'!$B$13=Working!$M$4,Working!M142,IF('Summary Sheet'!$B$13=Working!$M$3,Working!M103,IF('Summary Sheet'!$B$13=Working!$M$2,Working!M116,Working!M129)))</f>
        <v>920.49816869433153</v>
      </c>
      <c r="S88" s="3">
        <f>IF('Summary Sheet'!$B$13=Working!$M$4,Working!N142,IF('Summary Sheet'!$B$13=Working!$M$3,Working!N103,IF('Summary Sheet'!$B$13=Working!$M$2,Working!N116,Working!N129)))</f>
        <v>904.84479652246682</v>
      </c>
      <c r="T88" s="3">
        <f>IF('Summary Sheet'!$B$13=Working!$M$4,Working!O142,IF('Summary Sheet'!$B$13=Working!$M$3,Working!O103,IF('Summary Sheet'!$B$13=Working!$M$2,Working!O116,Working!O129)))</f>
        <v>902.24785652917467</v>
      </c>
      <c r="U88" s="3">
        <f>IF('Summary Sheet'!$B$13=Working!$M$4,Working!P142,IF('Summary Sheet'!$B$13=Working!$M$3,Working!P103,IF('Summary Sheet'!$B$13=Working!$M$2,Working!P116,Working!P129)))</f>
        <v>894.62562451394103</v>
      </c>
      <c r="V88" s="3">
        <f>IF('Summary Sheet'!$B$13=Working!$M$4,Working!Q142,IF('Summary Sheet'!$B$13=Working!$M$3,Working!Q103,IF('Summary Sheet'!$B$13=Working!$M$2,Working!Q116,Working!Q129)))</f>
        <v>884.29671449508032</v>
      </c>
      <c r="W88" s="3">
        <f>IF('Summary Sheet'!$B$13=Working!$M$4,Working!R142,IF('Summary Sheet'!$B$13=Working!$M$3,Working!R103,IF('Summary Sheet'!$B$13=Working!$M$2,Working!R116,Working!R129)))</f>
        <v>885.16888852525813</v>
      </c>
      <c r="X88" s="3">
        <f>IF('Summary Sheet'!$B$13=Working!$M$4,Working!S142,IF('Summary Sheet'!$B$13=Working!$M$3,Working!S103,IF('Summary Sheet'!$B$13=Working!$M$2,Working!S116,Working!S129)))</f>
        <v>887.94505594170846</v>
      </c>
      <c r="Y88" s="3">
        <f>IF('Summary Sheet'!$B$13=Working!$M$4,Working!T142,IF('Summary Sheet'!$B$13=Working!$M$3,Working!T103,IF('Summary Sheet'!$B$13=Working!$M$2,Working!T116,Working!T129)))</f>
        <v>890.0247219360823</v>
      </c>
      <c r="Z88" s="3">
        <f>IF('Summary Sheet'!$B$13=Working!$M$4,Working!U142,IF('Summary Sheet'!$B$13=Working!$M$3,Working!U103,IF('Summary Sheet'!$B$13=Working!$M$2,Working!U116,Working!U129)))</f>
        <v>1728.3891970676018</v>
      </c>
      <c r="AA88" s="3">
        <f>IF('Summary Sheet'!$B$13=Working!$M$4,Working!V142,IF('Summary Sheet'!$B$13=Working!$M$3,Working!V103,IF('Summary Sheet'!$B$13=Working!$M$2,Working!V116,Working!V129)))</f>
        <v>1922.5544281119842</v>
      </c>
      <c r="AB88" s="3">
        <f>IF('Summary Sheet'!$B$13=Working!$M$4,Working!W142,IF('Summary Sheet'!$B$13=Working!$M$3,Working!W103,IF('Summary Sheet'!$B$13=Working!$M$2,Working!W116,Working!W129)))</f>
        <v>1814.4597241895262</v>
      </c>
      <c r="AC88" s="3">
        <f>IF('Summary Sheet'!$B$13=Working!$M$4,Working!X142,IF('Summary Sheet'!$B$13=Working!$M$3,Working!X103,IF('Summary Sheet'!$B$13=Working!$M$2,Working!X116,Working!X129)))</f>
        <v>1589.5507883677537</v>
      </c>
      <c r="AD88" s="3">
        <f>IF('Summary Sheet'!$B$13=Working!$M$4,Working!Y142,IF('Summary Sheet'!$B$13=Working!$M$3,Working!Y103,IF('Summary Sheet'!$B$13=Working!$M$2,Working!Y116,Working!Y129)))</f>
        <v>1515.8058390687295</v>
      </c>
      <c r="AE88" s="3">
        <f>IF('Summary Sheet'!$B$13=Working!$M$4,Working!Z142,IF('Summary Sheet'!$B$13=Working!$M$3,Working!Z103,IF('Summary Sheet'!$B$13=Working!$M$2,Working!Z116,Working!Z129)))</f>
        <v>1492.3635927435166</v>
      </c>
      <c r="AF88" s="18" t="s">
        <v>9</v>
      </c>
      <c r="AG88" s="17">
        <v>10</v>
      </c>
      <c r="AH88" s="22">
        <v>3.5375161290322581E-2</v>
      </c>
      <c r="AI88" s="22">
        <v>2.5452580645161295E-2</v>
      </c>
      <c r="AJ88" s="22">
        <v>1.7405483870967745E-2</v>
      </c>
      <c r="AK88" s="22">
        <v>1.4976129032258064E-2</v>
      </c>
      <c r="AL88" s="22">
        <v>2.0410645161290323E-2</v>
      </c>
      <c r="AM88" s="22">
        <v>3.1836451612903216E-2</v>
      </c>
      <c r="AN88" s="22">
        <v>5.3462741935483865E-2</v>
      </c>
      <c r="AO88" s="22">
        <v>5.7714354838709674E-2</v>
      </c>
      <c r="AP88" s="22">
        <v>3.9810645161290327E-2</v>
      </c>
      <c r="AQ88" s="22">
        <v>3.7034032258064523E-2</v>
      </c>
      <c r="AR88" s="22">
        <v>3.1972419354838709E-2</v>
      </c>
      <c r="AS88" s="22">
        <v>2.9512741935483873E-2</v>
      </c>
      <c r="AT88" s="22">
        <v>2.7094516129032253E-2</v>
      </c>
      <c r="AU88" s="22">
        <v>2.290451612903226E-2</v>
      </c>
      <c r="AV88" s="22">
        <v>2.2288225806451609E-2</v>
      </c>
      <c r="AW88" s="22">
        <v>2.386935483870968E-2</v>
      </c>
      <c r="AX88" s="22">
        <v>3.1152096774193543E-2</v>
      </c>
      <c r="AY88" s="22">
        <v>3.7680806451612911E-2</v>
      </c>
      <c r="AZ88" s="22">
        <v>4.1749516129032258E-2</v>
      </c>
      <c r="BA88" s="22">
        <v>5.3938709677419358E-2</v>
      </c>
      <c r="BB88" s="22">
        <v>4.4121451612903234E-2</v>
      </c>
      <c r="BC88" s="22">
        <v>3.2827741935483865E-2</v>
      </c>
      <c r="BD88" s="22">
        <v>3.0265806451612899E-2</v>
      </c>
      <c r="BE88" s="22">
        <v>3.3615806451612912E-2</v>
      </c>
      <c r="BF88" s="18">
        <v>31</v>
      </c>
      <c r="BK88" s="18" t="s">
        <v>9</v>
      </c>
      <c r="BL88" s="17">
        <v>10</v>
      </c>
      <c r="BM88" s="18">
        <f t="shared" si="213"/>
        <v>1467.4199702950368</v>
      </c>
      <c r="BN88" s="18">
        <f t="shared" si="211"/>
        <v>1428.5238461799449</v>
      </c>
      <c r="BO88" s="18">
        <f t="shared" si="211"/>
        <v>1424.1487922659096</v>
      </c>
      <c r="BP88" s="18">
        <f t="shared" si="211"/>
        <v>1448.2442144077806</v>
      </c>
      <c r="BQ88" s="18">
        <f t="shared" si="211"/>
        <v>1536.872615941121</v>
      </c>
      <c r="BR88" s="18">
        <f t="shared" si="211"/>
        <v>1240.834490487847</v>
      </c>
      <c r="BS88" s="18">
        <f t="shared" si="211"/>
        <v>721.15548792826394</v>
      </c>
      <c r="BT88" s="18">
        <f t="shared" si="211"/>
        <v>172.93228094686447</v>
      </c>
      <c r="BU88" s="18">
        <f t="shared" si="211"/>
        <v>0</v>
      </c>
      <c r="BV88" s="18">
        <f t="shared" si="211"/>
        <v>0</v>
      </c>
      <c r="BW88" s="18">
        <f t="shared" si="211"/>
        <v>0</v>
      </c>
      <c r="BX88" s="18">
        <f t="shared" si="211"/>
        <v>0</v>
      </c>
      <c r="BY88" s="18">
        <f t="shared" si="211"/>
        <v>0</v>
      </c>
      <c r="BZ88" s="18">
        <f t="shared" si="211"/>
        <v>0</v>
      </c>
      <c r="CA88" s="18">
        <f t="shared" si="211"/>
        <v>0</v>
      </c>
      <c r="CB88" s="18">
        <f t="shared" si="211"/>
        <v>0</v>
      </c>
      <c r="CC88" s="18">
        <f t="shared" si="211"/>
        <v>0</v>
      </c>
      <c r="CD88" s="18">
        <f t="shared" si="211"/>
        <v>0</v>
      </c>
      <c r="CE88" s="18">
        <f t="shared" si="211"/>
        <v>1093.558420074188</v>
      </c>
      <c r="CF88" s="18">
        <f t="shared" si="211"/>
        <v>1890.3731685858925</v>
      </c>
      <c r="CG88" s="18">
        <f t="shared" si="211"/>
        <v>1676.5056613765598</v>
      </c>
      <c r="CH88" s="18">
        <f t="shared" si="211"/>
        <v>1537.4083608993969</v>
      </c>
      <c r="CI88" s="18">
        <f t="shared" si="211"/>
        <v>1516.8042639590735</v>
      </c>
      <c r="CJ88" s="18">
        <f t="shared" si="211"/>
        <v>1499.7648285516054</v>
      </c>
      <c r="CK88" s="18">
        <v>31</v>
      </c>
      <c r="CL88" s="18">
        <f t="shared" si="214"/>
        <v>174653.60487935803</v>
      </c>
      <c r="CM88" s="18">
        <f t="shared" si="215"/>
        <v>403637.33357952599</v>
      </c>
      <c r="CN88" s="18">
        <f t="shared" si="212"/>
        <v>578290.93845888402</v>
      </c>
    </row>
    <row r="89" spans="2:92" x14ac:dyDescent="0.25">
      <c r="H89" s="3">
        <f>IF('Summary Sheet'!$B$13=Working!$M$4,Working!C143,IF('Summary Sheet'!$B$13=Working!$M$3,Working!C104,IF('Summary Sheet'!$B$13=Working!$M$2,Working!C117,Working!C130)))</f>
        <v>1467.4199702950368</v>
      </c>
      <c r="I89" s="3">
        <f>IF('Summary Sheet'!$B$13=Working!$M$4,Working!D143,IF('Summary Sheet'!$B$13=Working!$M$3,Working!D104,IF('Summary Sheet'!$B$13=Working!$M$2,Working!D117,Working!D130)))</f>
        <v>1428.5238461799449</v>
      </c>
      <c r="J89" s="3">
        <f>IF('Summary Sheet'!$B$13=Working!$M$4,Working!E143,IF('Summary Sheet'!$B$13=Working!$M$3,Working!E104,IF('Summary Sheet'!$B$13=Working!$M$2,Working!E117,Working!E130)))</f>
        <v>1424.1487922659096</v>
      </c>
      <c r="K89" s="3">
        <f>IF('Summary Sheet'!$B$13=Working!$M$4,Working!F143,IF('Summary Sheet'!$B$13=Working!$M$3,Working!F104,IF('Summary Sheet'!$B$13=Working!$M$2,Working!F117,Working!F130)))</f>
        <v>1448.2442144077806</v>
      </c>
      <c r="L89" s="3">
        <f>IF('Summary Sheet'!$B$13=Working!$M$4,Working!G143,IF('Summary Sheet'!$B$13=Working!$M$3,Working!G104,IF('Summary Sheet'!$B$13=Working!$M$2,Working!G117,Working!G130)))</f>
        <v>1536.872615941121</v>
      </c>
      <c r="M89" s="3">
        <f>IF('Summary Sheet'!$B$13=Working!$M$4,Working!H143,IF('Summary Sheet'!$B$13=Working!$M$3,Working!H104,IF('Summary Sheet'!$B$13=Working!$M$2,Working!H117,Working!H130)))</f>
        <v>1240.834490487847</v>
      </c>
      <c r="N89" s="3">
        <f>IF('Summary Sheet'!$B$13=Working!$M$4,Working!I143,IF('Summary Sheet'!$B$13=Working!$M$3,Working!I104,IF('Summary Sheet'!$B$13=Working!$M$2,Working!I117,Working!I130)))</f>
        <v>800.03292792826392</v>
      </c>
      <c r="O89" s="3">
        <f>IF('Summary Sheet'!$B$13=Working!$M$4,Working!J143,IF('Summary Sheet'!$B$13=Working!$M$3,Working!J104,IF('Summary Sheet'!$B$13=Working!$M$2,Working!J117,Working!J130)))</f>
        <v>849.96364094686498</v>
      </c>
      <c r="P89" s="3">
        <f>IF('Summary Sheet'!$B$13=Working!$M$4,Working!K143,IF('Summary Sheet'!$B$13=Working!$M$3,Working!K104,IF('Summary Sheet'!$B$13=Working!$M$2,Working!K117,Working!K130)))</f>
        <v>913.05178904237437</v>
      </c>
      <c r="Q89" s="3">
        <f>IF('Summary Sheet'!$B$13=Working!$M$4,Working!L143,IF('Summary Sheet'!$B$13=Working!$M$3,Working!L104,IF('Summary Sheet'!$B$13=Working!$M$2,Working!L117,Working!L130)))</f>
        <v>937.3770234639411</v>
      </c>
      <c r="R89" s="3">
        <f>IF('Summary Sheet'!$B$13=Working!$M$4,Working!M143,IF('Summary Sheet'!$B$13=Working!$M$3,Working!M104,IF('Summary Sheet'!$B$13=Working!$M$2,Working!M117,Working!M130)))</f>
        <v>931.73961276424268</v>
      </c>
      <c r="S89" s="3">
        <f>IF('Summary Sheet'!$B$13=Working!$M$4,Working!N143,IF('Summary Sheet'!$B$13=Working!$M$3,Working!N104,IF('Summary Sheet'!$B$13=Working!$M$2,Working!N117,Working!N130)))</f>
        <v>929.10239301056083</v>
      </c>
      <c r="T89" s="3">
        <f>IF('Summary Sheet'!$B$13=Working!$M$4,Working!O143,IF('Summary Sheet'!$B$13=Working!$M$3,Working!O104,IF('Summary Sheet'!$B$13=Working!$M$2,Working!O117,Working!O130)))</f>
        <v>932.34524266851736</v>
      </c>
      <c r="U89" s="3">
        <f>IF('Summary Sheet'!$B$13=Working!$M$4,Working!P143,IF('Summary Sheet'!$B$13=Working!$M$3,Working!P104,IF('Summary Sheet'!$B$13=Working!$M$2,Working!P117,Working!P130)))</f>
        <v>930.85684993989003</v>
      </c>
      <c r="V89" s="3">
        <f>IF('Summary Sheet'!$B$13=Working!$M$4,Working!Q143,IF('Summary Sheet'!$B$13=Working!$M$3,Working!Q104,IF('Summary Sheet'!$B$13=Working!$M$2,Working!Q117,Working!Q130)))</f>
        <v>914.5584142203943</v>
      </c>
      <c r="W89" s="3">
        <f>IF('Summary Sheet'!$B$13=Working!$M$4,Working!R143,IF('Summary Sheet'!$B$13=Working!$M$3,Working!R104,IF('Summary Sheet'!$B$13=Working!$M$2,Working!R117,Working!R130)))</f>
        <v>897.87649617866612</v>
      </c>
      <c r="X89" s="3">
        <f>IF('Summary Sheet'!$B$13=Working!$M$4,Working!S143,IF('Summary Sheet'!$B$13=Working!$M$3,Working!S104,IF('Summary Sheet'!$B$13=Working!$M$2,Working!S117,Working!S130)))</f>
        <v>869.57259526474854</v>
      </c>
      <c r="Y89" s="3">
        <f>IF('Summary Sheet'!$B$13=Working!$M$4,Working!T143,IF('Summary Sheet'!$B$13=Working!$M$3,Working!T104,IF('Summary Sheet'!$B$13=Working!$M$2,Working!T117,Working!T130)))</f>
        <v>918.44434923624692</v>
      </c>
      <c r="Z89" s="3">
        <f>IF('Summary Sheet'!$B$13=Working!$M$4,Working!U143,IF('Summary Sheet'!$B$13=Working!$M$3,Working!U104,IF('Summary Sheet'!$B$13=Working!$M$2,Working!U117,Working!U130)))</f>
        <v>1415.6413000741879</v>
      </c>
      <c r="AA89" s="3">
        <f>IF('Summary Sheet'!$B$13=Working!$M$4,Working!V143,IF('Summary Sheet'!$B$13=Working!$M$3,Working!V104,IF('Summary Sheet'!$B$13=Working!$M$2,Working!V117,Working!V130)))</f>
        <v>1923.2387685858926</v>
      </c>
      <c r="AB89" s="3">
        <f>IF('Summary Sheet'!$B$13=Working!$M$4,Working!W143,IF('Summary Sheet'!$B$13=Working!$M$3,Working!W104,IF('Summary Sheet'!$B$13=Working!$M$2,Working!W117,Working!W130)))</f>
        <v>1676.5056613765598</v>
      </c>
      <c r="AC89" s="3">
        <f>IF('Summary Sheet'!$B$13=Working!$M$4,Working!X143,IF('Summary Sheet'!$B$13=Working!$M$3,Working!X104,IF('Summary Sheet'!$B$13=Working!$M$2,Working!X117,Working!X130)))</f>
        <v>1537.4083608993969</v>
      </c>
      <c r="AD89" s="3">
        <f>IF('Summary Sheet'!$B$13=Working!$M$4,Working!Y143,IF('Summary Sheet'!$B$13=Working!$M$3,Working!Y104,IF('Summary Sheet'!$B$13=Working!$M$2,Working!Y117,Working!Y130)))</f>
        <v>1516.8042639590735</v>
      </c>
      <c r="AE89" s="3">
        <f>IF('Summary Sheet'!$B$13=Working!$M$4,Working!Z143,IF('Summary Sheet'!$B$13=Working!$M$3,Working!Z104,IF('Summary Sheet'!$B$13=Working!$M$2,Working!Z117,Working!Z130)))</f>
        <v>1499.7648285516054</v>
      </c>
      <c r="AF89" s="18" t="s">
        <v>10</v>
      </c>
      <c r="AG89" s="17">
        <v>11</v>
      </c>
      <c r="AH89" s="22">
        <v>3.0275666666666666E-2</v>
      </c>
      <c r="AI89" s="22">
        <v>2.1085166666666665E-2</v>
      </c>
      <c r="AJ89" s="22">
        <v>1.7995166666666666E-2</v>
      </c>
      <c r="AK89" s="22">
        <v>1.4851166666666667E-2</v>
      </c>
      <c r="AL89" s="22">
        <v>1.6716499999999992E-2</v>
      </c>
      <c r="AM89" s="22">
        <v>3.0227E-2</v>
      </c>
      <c r="AN89" s="22">
        <v>4.9010499999999992E-2</v>
      </c>
      <c r="AO89" s="22">
        <v>5.4725499999999996E-2</v>
      </c>
      <c r="AP89" s="22">
        <v>4.5491166666666673E-2</v>
      </c>
      <c r="AQ89" s="22">
        <v>4.4813166666666661E-2</v>
      </c>
      <c r="AR89" s="22">
        <v>4.2916999999999997E-2</v>
      </c>
      <c r="AS89" s="22">
        <v>4.1902833333333327E-2</v>
      </c>
      <c r="AT89" s="22">
        <v>4.0454333333333328E-2</v>
      </c>
      <c r="AU89" s="22">
        <v>4.0714333333333332E-2</v>
      </c>
      <c r="AV89" s="22">
        <v>3.2952999999999996E-2</v>
      </c>
      <c r="AW89" s="22">
        <v>3.6293499999999999E-2</v>
      </c>
      <c r="AX89" s="22">
        <v>3.7105833333333331E-2</v>
      </c>
      <c r="AY89" s="22">
        <v>4.025533333333333E-2</v>
      </c>
      <c r="AZ89" s="22">
        <v>3.8878333333333334E-2</v>
      </c>
      <c r="BA89" s="22">
        <v>4.9408166666666663E-2</v>
      </c>
      <c r="BB89" s="22">
        <v>4.8350333333333322E-2</v>
      </c>
      <c r="BC89" s="22">
        <v>3.2631166666666669E-2</v>
      </c>
      <c r="BD89" s="22">
        <v>2.9117833333333336E-2</v>
      </c>
      <c r="BE89" s="22">
        <v>2.9053666666666658E-2</v>
      </c>
      <c r="BF89" s="18">
        <v>30</v>
      </c>
      <c r="BK89" s="18" t="s">
        <v>10</v>
      </c>
      <c r="BL89" s="17">
        <v>11</v>
      </c>
      <c r="BM89" s="18">
        <f t="shared" si="213"/>
        <v>1476.231964087712</v>
      </c>
      <c r="BN89" s="18">
        <f t="shared" si="211"/>
        <v>1433.1980758727072</v>
      </c>
      <c r="BO89" s="18">
        <f t="shared" si="211"/>
        <v>1419.0237268741294</v>
      </c>
      <c r="BP89" s="18">
        <f t="shared" si="211"/>
        <v>1443.0965016356226</v>
      </c>
      <c r="BQ89" s="18">
        <f t="shared" si="211"/>
        <v>1479.5263758145261</v>
      </c>
      <c r="BR89" s="18">
        <f t="shared" si="211"/>
        <v>748.08612007988779</v>
      </c>
      <c r="BS89" s="18">
        <f t="shared" si="211"/>
        <v>539.7478670452366</v>
      </c>
      <c r="BT89" s="18">
        <f t="shared" si="211"/>
        <v>0</v>
      </c>
      <c r="BU89" s="18">
        <f t="shared" si="211"/>
        <v>0</v>
      </c>
      <c r="BV89" s="18">
        <f t="shared" si="211"/>
        <v>0</v>
      </c>
      <c r="BW89" s="18">
        <f t="shared" si="211"/>
        <v>0</v>
      </c>
      <c r="BX89" s="18">
        <f t="shared" si="211"/>
        <v>0</v>
      </c>
      <c r="BY89" s="18">
        <f t="shared" si="211"/>
        <v>0</v>
      </c>
      <c r="BZ89" s="18">
        <f t="shared" si="211"/>
        <v>0</v>
      </c>
      <c r="CA89" s="18">
        <f t="shared" si="211"/>
        <v>0</v>
      </c>
      <c r="CB89" s="18">
        <f t="shared" si="211"/>
        <v>0</v>
      </c>
      <c r="CC89" s="18">
        <f t="shared" si="211"/>
        <v>0</v>
      </c>
      <c r="CD89" s="18">
        <f t="shared" si="211"/>
        <v>0</v>
      </c>
      <c r="CE89" s="18">
        <f t="shared" si="211"/>
        <v>215.48330115269664</v>
      </c>
      <c r="CF89" s="18">
        <f t="shared" si="211"/>
        <v>1431.3364218173549</v>
      </c>
      <c r="CG89" s="18">
        <f t="shared" si="211"/>
        <v>1572.4732861174562</v>
      </c>
      <c r="CH89" s="18">
        <f t="shared" si="211"/>
        <v>1555.9543982670316</v>
      </c>
      <c r="CI89" s="18">
        <f t="shared" si="211"/>
        <v>1533.3470155633436</v>
      </c>
      <c r="CJ89" s="18">
        <f t="shared" si="211"/>
        <v>1512.7691095821224</v>
      </c>
      <c r="CK89" s="18">
        <v>30</v>
      </c>
      <c r="CL89" s="18">
        <f t="shared" si="214"/>
        <v>135184.16620538323</v>
      </c>
      <c r="CM89" s="18">
        <f t="shared" si="215"/>
        <v>355624.05871191167</v>
      </c>
      <c r="CN89" s="18">
        <f t="shared" si="212"/>
        <v>490808.22491729487</v>
      </c>
    </row>
    <row r="90" spans="2:92" x14ac:dyDescent="0.25">
      <c r="H90" s="3">
        <f>IF('Summary Sheet'!$B$13=Working!$M$4,Working!C144,IF('Summary Sheet'!$B$13=Working!$M$3,Working!C105,IF('Summary Sheet'!$B$13=Working!$M$2,Working!C118,Working!C131)))</f>
        <v>1476.231964087712</v>
      </c>
      <c r="I90" s="3">
        <f>IF('Summary Sheet'!$B$13=Working!$M$4,Working!D144,IF('Summary Sheet'!$B$13=Working!$M$3,Working!D105,IF('Summary Sheet'!$B$13=Working!$M$2,Working!D118,Working!D131)))</f>
        <v>1433.1980758727072</v>
      </c>
      <c r="J90" s="3">
        <f>IF('Summary Sheet'!$B$13=Working!$M$4,Working!E144,IF('Summary Sheet'!$B$13=Working!$M$3,Working!E105,IF('Summary Sheet'!$B$13=Working!$M$2,Working!E118,Working!E131)))</f>
        <v>1419.0237268741294</v>
      </c>
      <c r="K90" s="3">
        <f>IF('Summary Sheet'!$B$13=Working!$M$4,Working!F144,IF('Summary Sheet'!$B$13=Working!$M$3,Working!F105,IF('Summary Sheet'!$B$13=Working!$M$2,Working!F118,Working!F131)))</f>
        <v>1443.0965016356226</v>
      </c>
      <c r="L90" s="3">
        <f>IF('Summary Sheet'!$B$13=Working!$M$4,Working!G144,IF('Summary Sheet'!$B$13=Working!$M$3,Working!G105,IF('Summary Sheet'!$B$13=Working!$M$2,Working!G118,Working!G131)))</f>
        <v>1479.5263758145261</v>
      </c>
      <c r="M90" s="3">
        <f>IF('Summary Sheet'!$B$13=Working!$M$4,Working!H144,IF('Summary Sheet'!$B$13=Working!$M$3,Working!H105,IF('Summary Sheet'!$B$13=Working!$M$2,Working!H118,Working!H131)))</f>
        <v>761.23236007988783</v>
      </c>
      <c r="N90" s="3">
        <f>IF('Summary Sheet'!$B$13=Working!$M$4,Working!I144,IF('Summary Sheet'!$B$13=Working!$M$3,Working!I105,IF('Summary Sheet'!$B$13=Working!$M$2,Working!I118,Working!I131)))</f>
        <v>776.38018704523654</v>
      </c>
      <c r="O90" s="3">
        <f>IF('Summary Sheet'!$B$13=Working!$M$4,Working!J144,IF('Summary Sheet'!$B$13=Working!$M$3,Working!J105,IF('Summary Sheet'!$B$13=Working!$M$2,Working!J118,Working!J131)))</f>
        <v>831.91055805746828</v>
      </c>
      <c r="P90" s="3">
        <f>IF('Summary Sheet'!$B$13=Working!$M$4,Working!K144,IF('Summary Sheet'!$B$13=Working!$M$3,Working!K105,IF('Summary Sheet'!$B$13=Working!$M$2,Working!K118,Working!K131)))</f>
        <v>904.35013115061508</v>
      </c>
      <c r="Q90" s="3">
        <f>IF('Summary Sheet'!$B$13=Working!$M$4,Working!L144,IF('Summary Sheet'!$B$13=Working!$M$3,Working!L105,IF('Summary Sheet'!$B$13=Working!$M$2,Working!L118,Working!L131)))</f>
        <v>945.77089754975282</v>
      </c>
      <c r="R90" s="3">
        <f>IF('Summary Sheet'!$B$13=Working!$M$4,Working!M144,IF('Summary Sheet'!$B$13=Working!$M$3,Working!M105,IF('Summary Sheet'!$B$13=Working!$M$2,Working!M118,Working!M131)))</f>
        <v>950.54087623727355</v>
      </c>
      <c r="S90" s="3">
        <f>IF('Summary Sheet'!$B$13=Working!$M$4,Working!N144,IF('Summary Sheet'!$B$13=Working!$M$3,Working!N105,IF('Summary Sheet'!$B$13=Working!$M$2,Working!N118,Working!N131)))</f>
        <v>955.24331807732096</v>
      </c>
      <c r="T90" s="3">
        <f>IF('Summary Sheet'!$B$13=Working!$M$4,Working!O144,IF('Summary Sheet'!$B$13=Working!$M$3,Working!O105,IF('Summary Sheet'!$B$13=Working!$M$2,Working!O118,Working!O131)))</f>
        <v>966.22737929108325</v>
      </c>
      <c r="U90" s="3">
        <f>IF('Summary Sheet'!$B$13=Working!$M$4,Working!P144,IF('Summary Sheet'!$B$13=Working!$M$3,Working!P105,IF('Summary Sheet'!$B$13=Working!$M$2,Working!P118,Working!P131)))</f>
        <v>972.76961750730607</v>
      </c>
      <c r="V90" s="3">
        <f>IF('Summary Sheet'!$B$13=Working!$M$4,Working!Q144,IF('Summary Sheet'!$B$13=Working!$M$3,Working!Q105,IF('Summary Sheet'!$B$13=Working!$M$2,Working!Q118,Working!Q131)))</f>
        <v>961.2757062903429</v>
      </c>
      <c r="W90" s="3">
        <f>IF('Summary Sheet'!$B$13=Working!$M$4,Working!R144,IF('Summary Sheet'!$B$13=Working!$M$3,Working!R105,IF('Summary Sheet'!$B$13=Working!$M$2,Working!R118,Working!R131)))</f>
        <v>952.10423907162101</v>
      </c>
      <c r="X90" s="3">
        <f>IF('Summary Sheet'!$B$13=Working!$M$4,Working!S144,IF('Summary Sheet'!$B$13=Working!$M$3,Working!S105,IF('Summary Sheet'!$B$13=Working!$M$2,Working!S118,Working!S131)))</f>
        <v>905.09766415970671</v>
      </c>
      <c r="Y90" s="3">
        <f>IF('Summary Sheet'!$B$13=Working!$M$4,Working!T144,IF('Summary Sheet'!$B$13=Working!$M$3,Working!T105,IF('Summary Sheet'!$B$13=Working!$M$2,Working!T118,Working!T131)))</f>
        <v>863.34752958895024</v>
      </c>
      <c r="Z90" s="3">
        <f>IF('Summary Sheet'!$B$13=Working!$M$4,Working!U144,IF('Summary Sheet'!$B$13=Working!$M$3,Working!U105,IF('Summary Sheet'!$B$13=Working!$M$2,Working!U118,Working!U131)))</f>
        <v>846.50282115269681</v>
      </c>
      <c r="AA90" s="3">
        <f>IF('Summary Sheet'!$B$13=Working!$M$4,Working!V144,IF('Summary Sheet'!$B$13=Working!$M$3,Working!V105,IF('Summary Sheet'!$B$13=Working!$M$2,Working!V118,Working!V131)))</f>
        <v>1543.079461817355</v>
      </c>
      <c r="AB90" s="3">
        <f>IF('Summary Sheet'!$B$13=Working!$M$4,Working!W144,IF('Summary Sheet'!$B$13=Working!$M$3,Working!W105,IF('Summary Sheet'!$B$13=Working!$M$2,Working!W118,Working!W131)))</f>
        <v>1572.4732861174562</v>
      </c>
      <c r="AC90" s="3">
        <f>IF('Summary Sheet'!$B$13=Working!$M$4,Working!X144,IF('Summary Sheet'!$B$13=Working!$M$3,Working!X105,IF('Summary Sheet'!$B$13=Working!$M$2,Working!X118,Working!X131)))</f>
        <v>1555.9543982670316</v>
      </c>
      <c r="AD90" s="3">
        <f>IF('Summary Sheet'!$B$13=Working!$M$4,Working!Y144,IF('Summary Sheet'!$B$13=Working!$M$3,Working!Y105,IF('Summary Sheet'!$B$13=Working!$M$2,Working!Y118,Working!Y131)))</f>
        <v>1533.3470155633436</v>
      </c>
      <c r="AE90" s="3">
        <f>IF('Summary Sheet'!$B$13=Working!$M$4,Working!Z144,IF('Summary Sheet'!$B$13=Working!$M$3,Working!Z105,IF('Summary Sheet'!$B$13=Working!$M$2,Working!Z118,Working!Z131)))</f>
        <v>1512.7691095821224</v>
      </c>
      <c r="AF90" s="18" t="s">
        <v>11</v>
      </c>
      <c r="AG90" s="17">
        <v>12</v>
      </c>
      <c r="AH90" s="22">
        <v>2.5979677419354832E-2</v>
      </c>
      <c r="AI90" s="22">
        <v>1.5755322580645163E-2</v>
      </c>
      <c r="AJ90" s="22">
        <v>1.716177419354839E-2</v>
      </c>
      <c r="AK90" s="22">
        <v>1.7693870967741936E-2</v>
      </c>
      <c r="AL90" s="22">
        <v>1.7716451612903226E-2</v>
      </c>
      <c r="AM90" s="22">
        <v>1.9683709677419354E-2</v>
      </c>
      <c r="AN90" s="22">
        <v>2.8385483870967738E-2</v>
      </c>
      <c r="AO90" s="22">
        <v>3.3915322580645162E-2</v>
      </c>
      <c r="AP90" s="22">
        <v>3.3805645161290317E-2</v>
      </c>
      <c r="AQ90" s="22">
        <v>3.4526612903225805E-2</v>
      </c>
      <c r="AR90" s="22">
        <v>3.3975161290322589E-2</v>
      </c>
      <c r="AS90" s="22">
        <v>3.4249516129032251E-2</v>
      </c>
      <c r="AT90" s="22">
        <v>3.4531935483870957E-2</v>
      </c>
      <c r="AU90" s="22">
        <v>3.6016774193548387E-2</v>
      </c>
      <c r="AV90" s="22">
        <v>3.2934354838709684E-2</v>
      </c>
      <c r="AW90" s="22">
        <v>3.579354838709678E-2</v>
      </c>
      <c r="AX90" s="22">
        <v>3.9422580645161298E-2</v>
      </c>
      <c r="AY90" s="22">
        <v>3.9269999999999992E-2</v>
      </c>
      <c r="AZ90" s="22">
        <v>3.7652096774193532E-2</v>
      </c>
      <c r="BA90" s="22">
        <v>3.6599677419354847E-2</v>
      </c>
      <c r="BB90" s="22">
        <v>3.4084516129032259E-2</v>
      </c>
      <c r="BC90" s="22">
        <v>2.8452903225806448E-2</v>
      </c>
      <c r="BD90" s="22">
        <v>2.6025967741935475E-2</v>
      </c>
      <c r="BE90" s="22">
        <v>2.4426129032258062E-2</v>
      </c>
      <c r="BF90" s="18">
        <v>31</v>
      </c>
      <c r="BK90" s="18" t="s">
        <v>11</v>
      </c>
      <c r="BL90" s="17">
        <v>12</v>
      </c>
      <c r="BM90" s="18">
        <f t="shared" si="213"/>
        <v>1491.1924207084592</v>
      </c>
      <c r="BN90" s="18">
        <f t="shared" si="211"/>
        <v>1454.8999735632397</v>
      </c>
      <c r="BO90" s="18">
        <f t="shared" si="211"/>
        <v>1437.4974332724191</v>
      </c>
      <c r="BP90" s="18">
        <f t="shared" ref="BP90:CJ90" si="216">AK74-BP58</f>
        <v>1464.7114188029032</v>
      </c>
      <c r="BQ90" s="18">
        <f t="shared" si="216"/>
        <v>1450.1823732742162</v>
      </c>
      <c r="BR90" s="18">
        <f t="shared" si="216"/>
        <v>719.75232701957623</v>
      </c>
      <c r="BS90" s="18">
        <f t="shared" si="216"/>
        <v>520.01840742540685</v>
      </c>
      <c r="BT90" s="18">
        <f t="shared" si="216"/>
        <v>0</v>
      </c>
      <c r="BU90" s="18">
        <f t="shared" si="216"/>
        <v>0</v>
      </c>
      <c r="BV90" s="18">
        <f t="shared" si="216"/>
        <v>0</v>
      </c>
      <c r="BW90" s="18">
        <f t="shared" si="216"/>
        <v>0</v>
      </c>
      <c r="BX90" s="18">
        <f t="shared" si="216"/>
        <v>0</v>
      </c>
      <c r="BY90" s="18">
        <f t="shared" si="216"/>
        <v>0</v>
      </c>
      <c r="BZ90" s="18">
        <f t="shared" si="216"/>
        <v>0</v>
      </c>
      <c r="CA90" s="18">
        <f t="shared" si="216"/>
        <v>0</v>
      </c>
      <c r="CB90" s="18">
        <f t="shared" si="216"/>
        <v>0</v>
      </c>
      <c r="CC90" s="18">
        <f t="shared" si="216"/>
        <v>0</v>
      </c>
      <c r="CD90" s="18">
        <f t="shared" si="216"/>
        <v>0</v>
      </c>
      <c r="CE90" s="18">
        <f t="shared" si="216"/>
        <v>0</v>
      </c>
      <c r="CF90" s="18">
        <f t="shared" si="216"/>
        <v>895.18305818396584</v>
      </c>
      <c r="CG90" s="18">
        <f t="shared" si="216"/>
        <v>1556.5537979269102</v>
      </c>
      <c r="CH90" s="18">
        <f t="shared" si="216"/>
        <v>1561.7900545053781</v>
      </c>
      <c r="CI90" s="18">
        <f t="shared" si="216"/>
        <v>1541.8603986863441</v>
      </c>
      <c r="CJ90" s="18">
        <f t="shared" si="216"/>
        <v>1523.4705144970321</v>
      </c>
      <c r="CK90" s="18">
        <v>31</v>
      </c>
      <c r="CL90" s="18">
        <f t="shared" si="214"/>
        <v>123012.14756312895</v>
      </c>
      <c r="CM90" s="18">
        <f t="shared" si="215"/>
        <v>361118.32995071233</v>
      </c>
      <c r="CN90" s="18">
        <f t="shared" si="212"/>
        <v>484130.4775138413</v>
      </c>
    </row>
    <row r="91" spans="2:92" x14ac:dyDescent="0.25">
      <c r="H91" s="3">
        <f>IF('Summary Sheet'!$B$13=Working!$M$4,Working!C145,IF('Summary Sheet'!$B$13=Working!$M$3,Working!C106,IF('Summary Sheet'!$B$13=Working!$M$2,Working!C119,Working!C132)))</f>
        <v>1491.1924207084592</v>
      </c>
      <c r="I91" s="3">
        <f>IF('Summary Sheet'!$B$13=Working!$M$4,Working!D145,IF('Summary Sheet'!$B$13=Working!$M$3,Working!D106,IF('Summary Sheet'!$B$13=Working!$M$2,Working!D119,Working!D132)))</f>
        <v>1454.8999735632397</v>
      </c>
      <c r="J91" s="3">
        <f>IF('Summary Sheet'!$B$13=Working!$M$4,Working!E145,IF('Summary Sheet'!$B$13=Working!$M$3,Working!E106,IF('Summary Sheet'!$B$13=Working!$M$2,Working!E119,Working!E132)))</f>
        <v>1437.4974332724191</v>
      </c>
      <c r="K91" s="3">
        <f>IF('Summary Sheet'!$B$13=Working!$M$4,Working!F145,IF('Summary Sheet'!$B$13=Working!$M$3,Working!F106,IF('Summary Sheet'!$B$13=Working!$M$2,Working!F119,Working!F132)))</f>
        <v>1464.7114188029032</v>
      </c>
      <c r="L91" s="3">
        <f>IF('Summary Sheet'!$B$13=Working!$M$4,Working!G145,IF('Summary Sheet'!$B$13=Working!$M$3,Working!G106,IF('Summary Sheet'!$B$13=Working!$M$2,Working!G119,Working!G132)))</f>
        <v>1450.1823732742162</v>
      </c>
      <c r="M91" s="3">
        <f>IF('Summary Sheet'!$B$13=Working!$M$4,Working!H145,IF('Summary Sheet'!$B$13=Working!$M$3,Working!H106,IF('Summary Sheet'!$B$13=Working!$M$2,Working!H119,Working!H132)))</f>
        <v>739.47168701957628</v>
      </c>
      <c r="N91" s="3">
        <f>IF('Summary Sheet'!$B$13=Working!$M$4,Working!I145,IF('Summary Sheet'!$B$13=Working!$M$3,Working!I106,IF('Summary Sheet'!$B$13=Working!$M$2,Working!I119,Working!I132)))</f>
        <v>802.66256742540668</v>
      </c>
      <c r="O91" s="3">
        <f>IF('Summary Sheet'!$B$13=Working!$M$4,Working!J145,IF('Summary Sheet'!$B$13=Working!$M$3,Working!J106,IF('Summary Sheet'!$B$13=Working!$M$2,Working!J119,Working!J132)))</f>
        <v>853.39837318377124</v>
      </c>
      <c r="P91" s="3">
        <f>IF('Summary Sheet'!$B$13=Working!$M$4,Working!K145,IF('Summary Sheet'!$B$13=Working!$M$3,Working!K106,IF('Summary Sheet'!$B$13=Working!$M$2,Working!K119,Working!K132)))</f>
        <v>939.58614776846525</v>
      </c>
      <c r="Q91" s="3">
        <f>IF('Summary Sheet'!$B$13=Working!$M$4,Working!L145,IF('Summary Sheet'!$B$13=Working!$M$3,Working!L106,IF('Summary Sheet'!$B$13=Working!$M$2,Working!L119,Working!L132)))</f>
        <v>1003.7203479796422</v>
      </c>
      <c r="R91" s="3">
        <f>IF('Summary Sheet'!$B$13=Working!$M$4,Working!M145,IF('Summary Sheet'!$B$13=Working!$M$3,Working!M106,IF('Summary Sheet'!$B$13=Working!$M$2,Working!M119,Working!M132)))</f>
        <v>1034.9231299472951</v>
      </c>
      <c r="S91" s="3">
        <f>IF('Summary Sheet'!$B$13=Working!$M$4,Working!N145,IF('Summary Sheet'!$B$13=Working!$M$3,Working!N106,IF('Summary Sheet'!$B$13=Working!$M$2,Working!N119,Working!N132)))</f>
        <v>1057.5450730720929</v>
      </c>
      <c r="T91" s="3">
        <f>IF('Summary Sheet'!$B$13=Working!$M$4,Working!O145,IF('Summary Sheet'!$B$13=Working!$M$3,Working!O106,IF('Summary Sheet'!$B$13=Working!$M$2,Working!O119,Working!O132)))</f>
        <v>1074.2567762304825</v>
      </c>
      <c r="U91" s="3">
        <f>IF('Summary Sheet'!$B$13=Working!$M$4,Working!P145,IF('Summary Sheet'!$B$13=Working!$M$3,Working!P106,IF('Summary Sheet'!$B$13=Working!$M$2,Working!P119,Working!P132)))</f>
        <v>1078.2910054321217</v>
      </c>
      <c r="V91" s="3">
        <f>IF('Summary Sheet'!$B$13=Working!$M$4,Working!Q145,IF('Summary Sheet'!$B$13=Working!$M$3,Working!Q106,IF('Summary Sheet'!$B$13=Working!$M$2,Working!Q119,Working!Q132)))</f>
        <v>1069.6656120690216</v>
      </c>
      <c r="W91" s="3">
        <f>IF('Summary Sheet'!$B$13=Working!$M$4,Working!R145,IF('Summary Sheet'!$B$13=Working!$M$3,Working!R106,IF('Summary Sheet'!$B$13=Working!$M$2,Working!R119,Working!R132)))</f>
        <v>1044.7292901729074</v>
      </c>
      <c r="X91" s="3">
        <f>IF('Summary Sheet'!$B$13=Working!$M$4,Working!S145,IF('Summary Sheet'!$B$13=Working!$M$3,Working!S106,IF('Summary Sheet'!$B$13=Working!$M$2,Working!S119,Working!S132)))</f>
        <v>999.88277813291415</v>
      </c>
      <c r="Y91" s="3">
        <f>IF('Summary Sheet'!$B$13=Working!$M$4,Working!T145,IF('Summary Sheet'!$B$13=Working!$M$3,Working!T106,IF('Summary Sheet'!$B$13=Working!$M$2,Working!T119,Working!T132)))</f>
        <v>918.58752239662647</v>
      </c>
      <c r="Z91" s="3">
        <f>IF('Summary Sheet'!$B$13=Working!$M$4,Working!U145,IF('Summary Sheet'!$B$13=Working!$M$3,Working!U106,IF('Summary Sheet'!$B$13=Working!$M$2,Working!U119,Working!U132)))</f>
        <v>872.13031722107553</v>
      </c>
      <c r="AA91" s="3">
        <f>IF('Summary Sheet'!$B$13=Working!$M$4,Working!V145,IF('Summary Sheet'!$B$13=Working!$M$3,Working!V106,IF('Summary Sheet'!$B$13=Working!$M$2,Working!V119,Working!V132)))</f>
        <v>1151.5347381839656</v>
      </c>
      <c r="AB91" s="3">
        <f>IF('Summary Sheet'!$B$13=Working!$M$4,Working!W145,IF('Summary Sheet'!$B$13=Working!$M$3,Working!W106,IF('Summary Sheet'!$B$13=Working!$M$2,Working!W119,Working!W132)))</f>
        <v>1582.8462779269103</v>
      </c>
      <c r="AC91" s="3">
        <f>IF('Summary Sheet'!$B$13=Working!$M$4,Working!X145,IF('Summary Sheet'!$B$13=Working!$M$3,Working!X106,IF('Summary Sheet'!$B$13=Working!$M$2,Working!X119,Working!X132)))</f>
        <v>1561.7900545053781</v>
      </c>
      <c r="AD91" s="3">
        <f>IF('Summary Sheet'!$B$13=Working!$M$4,Working!Y145,IF('Summary Sheet'!$B$13=Working!$M$3,Working!Y106,IF('Summary Sheet'!$B$13=Working!$M$2,Working!Y119,Working!Y132)))</f>
        <v>1541.8603986863441</v>
      </c>
      <c r="AE91" s="3">
        <f>IF('Summary Sheet'!$B$13=Working!$M$4,Working!Z145,IF('Summary Sheet'!$B$13=Working!$M$3,Working!Z106,IF('Summary Sheet'!$B$13=Working!$M$2,Working!Z119,Working!Z132)))</f>
        <v>1523.4705144970321</v>
      </c>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L91" s="20">
        <f>SUM(CL79:CL90)</f>
        <v>2462223.5975533943</v>
      </c>
      <c r="CM91" s="20">
        <f>SUM(CM79:CM90)</f>
        <v>5130136.0266625201</v>
      </c>
      <c r="CN91" s="20">
        <f>SUM(CN79:CN90)</f>
        <v>7592359.6242159149</v>
      </c>
    </row>
    <row r="93" spans="2:92" x14ac:dyDescent="0.25">
      <c r="AF93" s="12" t="s">
        <v>92</v>
      </c>
      <c r="AG93" s="13"/>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5"/>
      <c r="BF93" s="15" t="s">
        <v>15</v>
      </c>
      <c r="BG93" s="15" t="s">
        <v>35</v>
      </c>
      <c r="BH93" s="15" t="s">
        <v>36</v>
      </c>
      <c r="BI93" s="15" t="s">
        <v>93</v>
      </c>
      <c r="BK93" s="12" t="s">
        <v>53</v>
      </c>
      <c r="BL93" s="13"/>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5"/>
      <c r="CK93" s="15" t="s">
        <v>15</v>
      </c>
      <c r="CL93" s="15" t="s">
        <v>33</v>
      </c>
      <c r="CM93" s="15" t="s">
        <v>34</v>
      </c>
      <c r="CN93" s="15" t="s">
        <v>22</v>
      </c>
    </row>
    <row r="94" spans="2:92" x14ac:dyDescent="0.25">
      <c r="AF94" s="16"/>
      <c r="AG94" s="3" t="s">
        <v>12</v>
      </c>
      <c r="AH94" s="16">
        <v>0</v>
      </c>
      <c r="AI94" s="16">
        <v>1</v>
      </c>
      <c r="AJ94" s="16">
        <v>2</v>
      </c>
      <c r="AK94" s="16">
        <v>3</v>
      </c>
      <c r="AL94" s="16">
        <v>4</v>
      </c>
      <c r="AM94" s="16">
        <v>5</v>
      </c>
      <c r="AN94" s="16">
        <v>6</v>
      </c>
      <c r="AO94" s="16">
        <v>7</v>
      </c>
      <c r="AP94" s="16">
        <v>8</v>
      </c>
      <c r="AQ94" s="16">
        <v>9</v>
      </c>
      <c r="AR94" s="16">
        <v>10</v>
      </c>
      <c r="AS94" s="16">
        <v>11</v>
      </c>
      <c r="AT94" s="16">
        <v>12</v>
      </c>
      <c r="AU94" s="16">
        <v>13</v>
      </c>
      <c r="AV94" s="16">
        <v>14</v>
      </c>
      <c r="AW94" s="16">
        <v>15</v>
      </c>
      <c r="AX94" s="16">
        <v>16</v>
      </c>
      <c r="AY94" s="16">
        <v>17</v>
      </c>
      <c r="AZ94" s="16">
        <v>18</v>
      </c>
      <c r="BA94" s="16">
        <v>19</v>
      </c>
      <c r="BB94" s="16">
        <v>20</v>
      </c>
      <c r="BC94" s="16">
        <v>21</v>
      </c>
      <c r="BD94" s="16">
        <v>22</v>
      </c>
      <c r="BE94" s="16">
        <v>23</v>
      </c>
      <c r="BF94" s="16"/>
      <c r="BG94" s="16"/>
      <c r="BH94" s="16"/>
      <c r="BI94" s="16"/>
      <c r="BK94" s="16"/>
      <c r="BL94" s="3" t="s">
        <v>12</v>
      </c>
      <c r="BM94" s="16">
        <v>0</v>
      </c>
      <c r="BN94" s="16">
        <v>1</v>
      </c>
      <c r="BO94" s="16">
        <v>2</v>
      </c>
      <c r="BP94" s="16">
        <v>3</v>
      </c>
      <c r="BQ94" s="16">
        <v>4</v>
      </c>
      <c r="BR94" s="16">
        <v>5</v>
      </c>
      <c r="BS94" s="16">
        <v>6</v>
      </c>
      <c r="BT94" s="16">
        <v>7</v>
      </c>
      <c r="BU94" s="16">
        <v>8</v>
      </c>
      <c r="BV94" s="16">
        <v>9</v>
      </c>
      <c r="BW94" s="16">
        <v>10</v>
      </c>
      <c r="BX94" s="16">
        <v>11</v>
      </c>
      <c r="BY94" s="16">
        <v>12</v>
      </c>
      <c r="BZ94" s="16">
        <v>13</v>
      </c>
      <c r="CA94" s="16">
        <v>14</v>
      </c>
      <c r="CB94" s="16">
        <v>15</v>
      </c>
      <c r="CC94" s="16">
        <v>16</v>
      </c>
      <c r="CD94" s="16">
        <v>17</v>
      </c>
      <c r="CE94" s="16">
        <v>18</v>
      </c>
      <c r="CF94" s="16">
        <v>19</v>
      </c>
      <c r="CG94" s="16">
        <v>20</v>
      </c>
      <c r="CH94" s="16">
        <v>21</v>
      </c>
      <c r="CI94" s="16">
        <v>22</v>
      </c>
      <c r="CJ94" s="16">
        <v>23</v>
      </c>
      <c r="CK94" s="16"/>
      <c r="CL94" s="16"/>
      <c r="CM94" s="16"/>
      <c r="CN94" s="16"/>
    </row>
    <row r="95" spans="2:92" x14ac:dyDescent="0.25">
      <c r="B95" s="3" t="s">
        <v>193</v>
      </c>
      <c r="C95" s="71">
        <v>916.01840166444185</v>
      </c>
      <c r="D95" s="71">
        <v>916.0194499588747</v>
      </c>
      <c r="E95" s="71">
        <v>916.0194499588747</v>
      </c>
      <c r="F95" s="71">
        <v>916.01840166444185</v>
      </c>
      <c r="G95" s="71">
        <v>916.02049825330732</v>
      </c>
      <c r="H95" s="71">
        <v>227.52853679276095</v>
      </c>
      <c r="I95" s="71">
        <v>1.0482944327400475E-3</v>
      </c>
      <c r="J95" s="71">
        <v>0</v>
      </c>
      <c r="K95" s="71">
        <v>0</v>
      </c>
      <c r="L95" s="71">
        <v>0</v>
      </c>
      <c r="M95" s="71">
        <v>0</v>
      </c>
      <c r="N95" s="71">
        <v>0</v>
      </c>
      <c r="O95" s="71">
        <v>0</v>
      </c>
      <c r="P95" s="71">
        <v>0</v>
      </c>
      <c r="Q95" s="71">
        <v>0</v>
      </c>
      <c r="R95" s="71">
        <v>0</v>
      </c>
      <c r="S95" s="71">
        <v>0</v>
      </c>
      <c r="T95" s="71">
        <v>0</v>
      </c>
      <c r="U95" s="71">
        <v>0</v>
      </c>
      <c r="V95" s="71">
        <v>278.25189002581362</v>
      </c>
      <c r="W95" s="71">
        <v>916.01840166444185</v>
      </c>
      <c r="X95" s="71">
        <v>916.01840166444185</v>
      </c>
      <c r="Y95" s="71">
        <v>916.01840166444185</v>
      </c>
      <c r="Z95" s="71">
        <v>916.01840166444185</v>
      </c>
      <c r="AF95" s="18" t="s">
        <v>0</v>
      </c>
      <c r="AG95" s="17">
        <v>1</v>
      </c>
      <c r="AH95" s="18">
        <f>AH47*AH79</f>
        <v>0</v>
      </c>
      <c r="AI95" s="18">
        <f t="shared" ref="AI95:BE95" si="217">AI47*AI79</f>
        <v>0</v>
      </c>
      <c r="AJ95" s="18">
        <f t="shared" si="217"/>
        <v>0</v>
      </c>
      <c r="AK95" s="18">
        <f t="shared" si="217"/>
        <v>0</v>
      </c>
      <c r="AL95" s="18">
        <f t="shared" si="217"/>
        <v>0</v>
      </c>
      <c r="AM95" s="18">
        <f t="shared" si="217"/>
        <v>0</v>
      </c>
      <c r="AN95" s="18">
        <f t="shared" si="217"/>
        <v>0</v>
      </c>
      <c r="AO95" s="18">
        <f t="shared" si="217"/>
        <v>0</v>
      </c>
      <c r="AP95" s="18">
        <f t="shared" si="217"/>
        <v>45.58206123796937</v>
      </c>
      <c r="AQ95" s="18">
        <f t="shared" si="217"/>
        <v>116.93697977615183</v>
      </c>
      <c r="AR95" s="18">
        <f t="shared" si="217"/>
        <v>191.77458868024743</v>
      </c>
      <c r="AS95" s="18">
        <f t="shared" si="217"/>
        <v>264.42434016637816</v>
      </c>
      <c r="AT95" s="18">
        <f t="shared" si="217"/>
        <v>337.72962604001015</v>
      </c>
      <c r="AU95" s="18">
        <f t="shared" si="217"/>
        <v>364.17411733804488</v>
      </c>
      <c r="AV95" s="18">
        <f t="shared" si="217"/>
        <v>345.5307893261932</v>
      </c>
      <c r="AW95" s="18">
        <f t="shared" si="217"/>
        <v>327.88137426846987</v>
      </c>
      <c r="AX95" s="18">
        <f t="shared" si="217"/>
        <v>252.25037608103315</v>
      </c>
      <c r="AY95" s="18">
        <f t="shared" si="217"/>
        <v>139.82286683040937</v>
      </c>
      <c r="AZ95" s="18">
        <f t="shared" si="217"/>
        <v>13.931845329745384</v>
      </c>
      <c r="BA95" s="18">
        <f t="shared" si="217"/>
        <v>0</v>
      </c>
      <c r="BB95" s="18">
        <f t="shared" si="217"/>
        <v>0</v>
      </c>
      <c r="BC95" s="18">
        <f t="shared" si="217"/>
        <v>0</v>
      </c>
      <c r="BD95" s="18">
        <f t="shared" si="217"/>
        <v>0</v>
      </c>
      <c r="BE95" s="18">
        <f t="shared" si="217"/>
        <v>0</v>
      </c>
      <c r="BF95" s="18">
        <v>31</v>
      </c>
      <c r="BG95" s="18">
        <f>SUM(AO95:BD95)*BF95*5/7</f>
        <v>53143.719940938747</v>
      </c>
      <c r="BH95" s="18">
        <f>BI95-BG95</f>
        <v>21257.487976375494</v>
      </c>
      <c r="BI95" s="18">
        <f t="shared" ref="BI95:BI106" si="218">BF95*(SUM(AH95:BE95))</f>
        <v>74401.207917314241</v>
      </c>
      <c r="BK95" s="18" t="s">
        <v>0</v>
      </c>
      <c r="BL95" s="17">
        <v>1</v>
      </c>
      <c r="BM95" s="18">
        <f>IF(BM31='Summary Sheet'!$U$21,Working!BM15,0)</f>
        <v>0</v>
      </c>
      <c r="BN95" s="18">
        <f>IF(BN31='Summary Sheet'!$U$21,Working!BN15,0)</f>
        <v>0</v>
      </c>
      <c r="BO95" s="18">
        <f>IF(BO31='Summary Sheet'!$U$21,Working!BO15,0)</f>
        <v>0</v>
      </c>
      <c r="BP95" s="18">
        <f>IF(BP31='Summary Sheet'!$U$21,Working!BP15,0)</f>
        <v>0</v>
      </c>
      <c r="BQ95" s="18">
        <f>IF(BQ31='Summary Sheet'!$U$21,Working!BQ15,0)</f>
        <v>0</v>
      </c>
      <c r="BR95" s="18">
        <f>IF(BR31='Summary Sheet'!$U$21,Working!BR15,0)</f>
        <v>0</v>
      </c>
      <c r="BS95" s="18">
        <f>IF(BS31='Summary Sheet'!$U$21,Working!BS15,0)</f>
        <v>0</v>
      </c>
      <c r="BT95" s="18">
        <f>IF(BT31='Summary Sheet'!$U$21,Working!BT15,0)</f>
        <v>0</v>
      </c>
      <c r="BU95" s="18">
        <f>IF(BU31='Summary Sheet'!$U$21,Working!BU15,0)</f>
        <v>0</v>
      </c>
      <c r="BV95" s="18">
        <f>IF(BV31='Summary Sheet'!$U$21,Working!BV15,0)</f>
        <v>0</v>
      </c>
      <c r="BW95" s="18">
        <f>IF(BW31='Summary Sheet'!$U$21,Working!BW15,0)</f>
        <v>0</v>
      </c>
      <c r="BX95" s="18">
        <f>IF(BX31='Summary Sheet'!$U$21,Working!BX15,0)</f>
        <v>0</v>
      </c>
      <c r="BY95" s="18">
        <f>IF(BY31='Summary Sheet'!$U$21,Working!BY15,0)</f>
        <v>0</v>
      </c>
      <c r="BZ95" s="18">
        <f>IF(BZ31='Summary Sheet'!$U$21,Working!BZ15,0)</f>
        <v>0</v>
      </c>
      <c r="CA95" s="18">
        <f>IF(CA31='Summary Sheet'!$U$21,Working!CA15,0)</f>
        <v>0</v>
      </c>
      <c r="CB95" s="18">
        <f>IF(CB31='Summary Sheet'!$U$21,Working!CB15,0)</f>
        <v>0</v>
      </c>
      <c r="CC95" s="18">
        <f>IF(CC31='Summary Sheet'!$U$21,Working!CC15,0)</f>
        <v>0</v>
      </c>
      <c r="CD95" s="18">
        <f>IF(CD31='Summary Sheet'!$U$21,Working!CD15,0)</f>
        <v>0</v>
      </c>
      <c r="CE95" s="18">
        <f>IF(CE31='Summary Sheet'!$U$21,Working!CE15,0)</f>
        <v>0</v>
      </c>
      <c r="CF95" s="18">
        <f>IF(CF31='Summary Sheet'!$U$21,Working!CF15,0)</f>
        <v>0</v>
      </c>
      <c r="CG95" s="18">
        <f>IF(CG31='Summary Sheet'!$U$21,Working!CG15,0)</f>
        <v>0</v>
      </c>
      <c r="CH95" s="18">
        <f>IF(CH31='Summary Sheet'!$U$21,Working!CH15,0)</f>
        <v>0</v>
      </c>
      <c r="CI95" s="18">
        <f>IF(CI31='Summary Sheet'!$U$21,Working!CI15,0)</f>
        <v>0</v>
      </c>
      <c r="CJ95" s="18">
        <f>IF(CJ31='Summary Sheet'!$U$21,Working!CJ15,0)</f>
        <v>0</v>
      </c>
      <c r="CK95" s="18">
        <v>31</v>
      </c>
      <c r="CL95" s="18">
        <f>SUM(BT95:CI95)*CK95*5/7</f>
        <v>0</v>
      </c>
      <c r="CM95" s="18">
        <f>CN95-CL95</f>
        <v>0</v>
      </c>
      <c r="CN95" s="18">
        <f t="shared" ref="CN95:CN106" si="219">CK95*(SUM(BM95:CJ95))</f>
        <v>0</v>
      </c>
    </row>
    <row r="96" spans="2:92" x14ac:dyDescent="0.25">
      <c r="C96" s="71">
        <v>916.03406992230271</v>
      </c>
      <c r="D96" s="71">
        <v>916.03279324944003</v>
      </c>
      <c r="E96" s="71">
        <v>916.03279324944003</v>
      </c>
      <c r="F96" s="71">
        <v>916.03279324944003</v>
      </c>
      <c r="G96" s="71">
        <v>916.03279324944003</v>
      </c>
      <c r="H96" s="71">
        <v>726.8328057256216</v>
      </c>
      <c r="I96" s="71">
        <v>1.6513606431532721</v>
      </c>
      <c r="J96" s="71">
        <v>1.5552196691436275E-2</v>
      </c>
      <c r="K96" s="71">
        <v>1.4391584998045508E-2</v>
      </c>
      <c r="L96" s="71">
        <v>9.5170158858042895E-3</v>
      </c>
      <c r="M96" s="71">
        <v>7.195792499022754E-3</v>
      </c>
      <c r="N96" s="71">
        <v>7.195792499022754E-3</v>
      </c>
      <c r="O96" s="71">
        <v>8.3564041924135222E-3</v>
      </c>
      <c r="P96" s="71">
        <v>1.3114912135315666E-2</v>
      </c>
      <c r="Q96" s="71">
        <v>1.4391584998045508E-2</v>
      </c>
      <c r="R96" s="71">
        <v>1.4391584998045508E-2</v>
      </c>
      <c r="S96" s="71">
        <v>1.4391584998045508E-2</v>
      </c>
      <c r="T96" s="71">
        <v>1.4391584998045508E-2</v>
      </c>
      <c r="U96" s="71">
        <v>1.4391584998045508E-2</v>
      </c>
      <c r="V96" s="71">
        <v>640.13601120368537</v>
      </c>
      <c r="W96" s="71">
        <v>916.03279324944003</v>
      </c>
      <c r="X96" s="71">
        <v>916.03279324944003</v>
      </c>
      <c r="Y96" s="71">
        <v>916.03279324944003</v>
      </c>
      <c r="Z96" s="71">
        <v>916.03279324944003</v>
      </c>
      <c r="AF96" s="18" t="s">
        <v>1</v>
      </c>
      <c r="AG96" s="17">
        <v>2</v>
      </c>
      <c r="AH96" s="18">
        <f t="shared" ref="AH96:BE96" si="220">AH48*AH80</f>
        <v>0</v>
      </c>
      <c r="AI96" s="18">
        <f t="shared" si="220"/>
        <v>0</v>
      </c>
      <c r="AJ96" s="18">
        <f t="shared" si="220"/>
        <v>0</v>
      </c>
      <c r="AK96" s="18">
        <f t="shared" si="220"/>
        <v>0</v>
      </c>
      <c r="AL96" s="18">
        <f t="shared" si="220"/>
        <v>0</v>
      </c>
      <c r="AM96" s="18">
        <f t="shared" si="220"/>
        <v>0</v>
      </c>
      <c r="AN96" s="18">
        <f t="shared" si="220"/>
        <v>0</v>
      </c>
      <c r="AO96" s="18">
        <f t="shared" si="220"/>
        <v>0</v>
      </c>
      <c r="AP96" s="18">
        <f t="shared" si="220"/>
        <v>49.675941689184604</v>
      </c>
      <c r="AQ96" s="18">
        <f t="shared" si="220"/>
        <v>160.59684615368147</v>
      </c>
      <c r="AR96" s="18">
        <f t="shared" si="220"/>
        <v>261.83537855773574</v>
      </c>
      <c r="AS96" s="18">
        <f t="shared" si="220"/>
        <v>380.68326349221087</v>
      </c>
      <c r="AT96" s="18">
        <f t="shared" si="220"/>
        <v>435.29585206598216</v>
      </c>
      <c r="AU96" s="18">
        <f t="shared" si="220"/>
        <v>457.38948043871937</v>
      </c>
      <c r="AV96" s="18">
        <f t="shared" si="220"/>
        <v>425.47159403851714</v>
      </c>
      <c r="AW96" s="18">
        <f t="shared" si="220"/>
        <v>369.96608972500309</v>
      </c>
      <c r="AX96" s="18">
        <f t="shared" si="220"/>
        <v>364.73685134345794</v>
      </c>
      <c r="AY96" s="18">
        <f t="shared" si="220"/>
        <v>134.20836498710503</v>
      </c>
      <c r="AZ96" s="18">
        <f t="shared" si="220"/>
        <v>0</v>
      </c>
      <c r="BA96" s="18">
        <f t="shared" si="220"/>
        <v>0</v>
      </c>
      <c r="BB96" s="18">
        <f t="shared" si="220"/>
        <v>0</v>
      </c>
      <c r="BC96" s="18">
        <f t="shared" si="220"/>
        <v>0</v>
      </c>
      <c r="BD96" s="18">
        <f t="shared" si="220"/>
        <v>0</v>
      </c>
      <c r="BE96" s="18">
        <f t="shared" si="220"/>
        <v>0</v>
      </c>
      <c r="BF96" s="18">
        <v>28</v>
      </c>
      <c r="BG96" s="18">
        <f t="shared" ref="BG96:BG106" si="221">SUM(AO96:BD96)*BF96*5/7</f>
        <v>60797.193249831951</v>
      </c>
      <c r="BH96" s="18">
        <f t="shared" ref="BH96:BH106" si="222">BI96-BG96</f>
        <v>24318.877299932778</v>
      </c>
      <c r="BI96" s="18">
        <f t="shared" si="218"/>
        <v>85116.070549764729</v>
      </c>
      <c r="BK96" s="18" t="s">
        <v>1</v>
      </c>
      <c r="BL96" s="17">
        <v>2</v>
      </c>
      <c r="BM96" s="18">
        <f>IF(BM32='Summary Sheet'!$U$21,Working!BM16,0)</f>
        <v>0</v>
      </c>
      <c r="BN96" s="18">
        <f>IF(BN32='Summary Sheet'!$U$21,Working!BN16,0)</f>
        <v>0</v>
      </c>
      <c r="BO96" s="18">
        <f>IF(BO32='Summary Sheet'!$U$21,Working!BO16,0)</f>
        <v>0</v>
      </c>
      <c r="BP96" s="18">
        <f>IF(BP32='Summary Sheet'!$U$21,Working!BP16,0)</f>
        <v>0</v>
      </c>
      <c r="BQ96" s="18">
        <f>IF(BQ32='Summary Sheet'!$U$21,Working!BQ16,0)</f>
        <v>0</v>
      </c>
      <c r="BR96" s="18">
        <f>IF(BR32='Summary Sheet'!$U$21,Working!BR16,0)</f>
        <v>0</v>
      </c>
      <c r="BS96" s="18">
        <f>IF(BS32='Summary Sheet'!$U$21,Working!BS16,0)</f>
        <v>0</v>
      </c>
      <c r="BT96" s="18">
        <f>IF(BT32='Summary Sheet'!$U$21,Working!BT16,0)</f>
        <v>0</v>
      </c>
      <c r="BU96" s="18">
        <f>IF(BU32='Summary Sheet'!$U$21,Working!BU16,0)</f>
        <v>0</v>
      </c>
      <c r="BV96" s="18">
        <f>IF(BV32='Summary Sheet'!$U$21,Working!BV16,0)</f>
        <v>0</v>
      </c>
      <c r="BW96" s="18">
        <f>IF(BW32='Summary Sheet'!$U$21,Working!BW16,0)</f>
        <v>0</v>
      </c>
      <c r="BX96" s="18">
        <f>IF(BX32='Summary Sheet'!$U$21,Working!BX16,0)</f>
        <v>0</v>
      </c>
      <c r="BY96" s="18">
        <f>IF(BY32='Summary Sheet'!$U$21,Working!BY16,0)</f>
        <v>0</v>
      </c>
      <c r="BZ96" s="18">
        <f>IF(BZ32='Summary Sheet'!$U$21,Working!BZ16,0)</f>
        <v>0</v>
      </c>
      <c r="CA96" s="18">
        <f>IF(CA32='Summary Sheet'!$U$21,Working!CA16,0)</f>
        <v>0</v>
      </c>
      <c r="CB96" s="18">
        <f>IF(CB32='Summary Sheet'!$U$21,Working!CB16,0)</f>
        <v>0</v>
      </c>
      <c r="CC96" s="18">
        <f>IF(CC32='Summary Sheet'!$U$21,Working!CC16,0)</f>
        <v>0</v>
      </c>
      <c r="CD96" s="18">
        <f>IF(CD32='Summary Sheet'!$U$21,Working!CD16,0)</f>
        <v>0</v>
      </c>
      <c r="CE96" s="18">
        <f>IF(CE32='Summary Sheet'!$U$21,Working!CE16,0)</f>
        <v>0</v>
      </c>
      <c r="CF96" s="18">
        <f>IF(CF32='Summary Sheet'!$U$21,Working!CF16,0)</f>
        <v>0</v>
      </c>
      <c r="CG96" s="18">
        <f>IF(CG32='Summary Sheet'!$U$21,Working!CG16,0)</f>
        <v>0</v>
      </c>
      <c r="CH96" s="18">
        <f>IF(CH32='Summary Sheet'!$U$21,Working!CH16,0)</f>
        <v>0</v>
      </c>
      <c r="CI96" s="18">
        <f>IF(CI32='Summary Sheet'!$U$21,Working!CI16,0)</f>
        <v>0</v>
      </c>
      <c r="CJ96" s="18">
        <f>IF(CJ32='Summary Sheet'!$U$21,Working!CJ16,0)</f>
        <v>0</v>
      </c>
      <c r="CK96" s="18">
        <v>28</v>
      </c>
      <c r="CL96" s="18">
        <f t="shared" ref="CL96:CL106" si="223">SUM(BT96:CI96)*CK96*5/7</f>
        <v>0</v>
      </c>
      <c r="CM96" s="18">
        <f t="shared" ref="CM96:CM106" si="224">CN96-CL96</f>
        <v>0</v>
      </c>
      <c r="CN96" s="18">
        <f t="shared" si="219"/>
        <v>0</v>
      </c>
    </row>
    <row r="97" spans="2:92" x14ac:dyDescent="0.25">
      <c r="C97" s="71">
        <v>915.75039869919226</v>
      </c>
      <c r="D97" s="71">
        <v>915.75039869919226</v>
      </c>
      <c r="E97" s="71">
        <v>915.75039869919226</v>
      </c>
      <c r="F97" s="71">
        <v>915.75039869919226</v>
      </c>
      <c r="G97" s="71">
        <v>915.75039869919226</v>
      </c>
      <c r="H97" s="71">
        <v>915.75039869919226</v>
      </c>
      <c r="I97" s="71">
        <v>272.75073042827387</v>
      </c>
      <c r="J97" s="71">
        <v>0</v>
      </c>
      <c r="K97" s="71">
        <v>0</v>
      </c>
      <c r="L97" s="71">
        <v>0</v>
      </c>
      <c r="M97" s="71">
        <v>0</v>
      </c>
      <c r="N97" s="71">
        <v>0</v>
      </c>
      <c r="O97" s="71">
        <v>0</v>
      </c>
      <c r="P97" s="71">
        <v>0</v>
      </c>
      <c r="Q97" s="71">
        <v>0</v>
      </c>
      <c r="R97" s="71">
        <v>0</v>
      </c>
      <c r="S97" s="71">
        <v>0</v>
      </c>
      <c r="T97" s="71">
        <v>0</v>
      </c>
      <c r="U97" s="71">
        <v>347.09897895289407</v>
      </c>
      <c r="V97" s="71">
        <v>915.75039869919226</v>
      </c>
      <c r="W97" s="71">
        <v>915.75039869919226</v>
      </c>
      <c r="X97" s="71">
        <v>915.75039869919226</v>
      </c>
      <c r="Y97" s="71">
        <v>915.75039869919226</v>
      </c>
      <c r="Z97" s="71">
        <v>915.75039869919226</v>
      </c>
      <c r="AF97" s="18" t="s">
        <v>2</v>
      </c>
      <c r="AG97" s="17">
        <v>3</v>
      </c>
      <c r="AH97" s="18">
        <f t="shared" ref="AH97:BE97" si="225">AH49*AH81</f>
        <v>0</v>
      </c>
      <c r="AI97" s="18">
        <f t="shared" si="225"/>
        <v>0</v>
      </c>
      <c r="AJ97" s="18">
        <f t="shared" si="225"/>
        <v>0</v>
      </c>
      <c r="AK97" s="18">
        <f t="shared" si="225"/>
        <v>0</v>
      </c>
      <c r="AL97" s="18">
        <f t="shared" si="225"/>
        <v>0</v>
      </c>
      <c r="AM97" s="18">
        <f t="shared" si="225"/>
        <v>0</v>
      </c>
      <c r="AN97" s="18">
        <f t="shared" si="225"/>
        <v>0</v>
      </c>
      <c r="AO97" s="18">
        <f t="shared" si="225"/>
        <v>0</v>
      </c>
      <c r="AP97" s="18">
        <f t="shared" si="225"/>
        <v>26.438020640963757</v>
      </c>
      <c r="AQ97" s="18">
        <f t="shared" si="225"/>
        <v>149.23454345080222</v>
      </c>
      <c r="AR97" s="18">
        <f t="shared" si="225"/>
        <v>260.79730755904649</v>
      </c>
      <c r="AS97" s="18">
        <f t="shared" si="225"/>
        <v>342.41972065910289</v>
      </c>
      <c r="AT97" s="18">
        <f t="shared" si="225"/>
        <v>425.08549737741311</v>
      </c>
      <c r="AU97" s="18">
        <f t="shared" si="225"/>
        <v>454.91362521500986</v>
      </c>
      <c r="AV97" s="18">
        <f t="shared" si="225"/>
        <v>400.09369599407978</v>
      </c>
      <c r="AW97" s="18">
        <f t="shared" si="225"/>
        <v>340.29290306130963</v>
      </c>
      <c r="AX97" s="18">
        <f t="shared" si="225"/>
        <v>210.77824052468287</v>
      </c>
      <c r="AY97" s="18">
        <f t="shared" si="225"/>
        <v>65.4665549619167</v>
      </c>
      <c r="AZ97" s="18">
        <f t="shared" si="225"/>
        <v>0</v>
      </c>
      <c r="BA97" s="18">
        <f t="shared" si="225"/>
        <v>0</v>
      </c>
      <c r="BB97" s="18">
        <f t="shared" si="225"/>
        <v>0</v>
      </c>
      <c r="BC97" s="18">
        <f t="shared" si="225"/>
        <v>0</v>
      </c>
      <c r="BD97" s="18">
        <f t="shared" si="225"/>
        <v>0</v>
      </c>
      <c r="BE97" s="18">
        <f t="shared" si="225"/>
        <v>0</v>
      </c>
      <c r="BF97" s="18">
        <v>31</v>
      </c>
      <c r="BG97" s="18">
        <f t="shared" si="221"/>
        <v>59243.659566267241</v>
      </c>
      <c r="BH97" s="18">
        <f t="shared" si="222"/>
        <v>23697.463826506901</v>
      </c>
      <c r="BI97" s="18">
        <f t="shared" si="218"/>
        <v>82941.123392774141</v>
      </c>
      <c r="BK97" s="18" t="s">
        <v>2</v>
      </c>
      <c r="BL97" s="17">
        <v>3</v>
      </c>
      <c r="BM97" s="18">
        <f>IF(BM33='Summary Sheet'!$U$21,Working!BM17,0)</f>
        <v>0</v>
      </c>
      <c r="BN97" s="18">
        <f>IF(BN33='Summary Sheet'!$U$21,Working!BN17,0)</f>
        <v>0</v>
      </c>
      <c r="BO97" s="18">
        <f>IF(BO33='Summary Sheet'!$U$21,Working!BO17,0)</f>
        <v>0</v>
      </c>
      <c r="BP97" s="18">
        <f>IF(BP33='Summary Sheet'!$U$21,Working!BP17,0)</f>
        <v>0</v>
      </c>
      <c r="BQ97" s="18">
        <f>IF(BQ33='Summary Sheet'!$U$21,Working!BQ17,0)</f>
        <v>0</v>
      </c>
      <c r="BR97" s="18">
        <f>IF(BR33='Summary Sheet'!$U$21,Working!BR17,0)</f>
        <v>0</v>
      </c>
      <c r="BS97" s="18">
        <f>IF(BS33='Summary Sheet'!$U$21,Working!BS17,0)</f>
        <v>0</v>
      </c>
      <c r="BT97" s="18">
        <f>IF(BT33='Summary Sheet'!$U$21,Working!BT17,0)</f>
        <v>0</v>
      </c>
      <c r="BU97" s="18">
        <f>IF(BU33='Summary Sheet'!$U$21,Working!BU17,0)</f>
        <v>0</v>
      </c>
      <c r="BV97" s="18">
        <f>IF(BV33='Summary Sheet'!$U$21,Working!BV17,0)</f>
        <v>0</v>
      </c>
      <c r="BW97" s="18">
        <f>IF(BW33='Summary Sheet'!$U$21,Working!BW17,0)</f>
        <v>0</v>
      </c>
      <c r="BX97" s="18">
        <f>IF(BX33='Summary Sheet'!$U$21,Working!BX17,0)</f>
        <v>0</v>
      </c>
      <c r="BY97" s="18">
        <f>IF(BY33='Summary Sheet'!$U$21,Working!BY17,0)</f>
        <v>0</v>
      </c>
      <c r="BZ97" s="18">
        <f>IF(BZ33='Summary Sheet'!$U$21,Working!BZ17,0)</f>
        <v>0</v>
      </c>
      <c r="CA97" s="18">
        <f>IF(CA33='Summary Sheet'!$U$21,Working!CA17,0)</f>
        <v>0</v>
      </c>
      <c r="CB97" s="18">
        <f>IF(CB33='Summary Sheet'!$U$21,Working!CB17,0)</f>
        <v>0</v>
      </c>
      <c r="CC97" s="18">
        <f>IF(CC33='Summary Sheet'!$U$21,Working!CC17,0)</f>
        <v>0</v>
      </c>
      <c r="CD97" s="18">
        <f>IF(CD33='Summary Sheet'!$U$21,Working!CD17,0)</f>
        <v>0</v>
      </c>
      <c r="CE97" s="18">
        <f>IF(CE33='Summary Sheet'!$U$21,Working!CE17,0)</f>
        <v>0</v>
      </c>
      <c r="CF97" s="18">
        <f>IF(CF33='Summary Sheet'!$U$21,Working!CF17,0)</f>
        <v>0</v>
      </c>
      <c r="CG97" s="18">
        <f>IF(CG33='Summary Sheet'!$U$21,Working!CG17,0)</f>
        <v>0</v>
      </c>
      <c r="CH97" s="18">
        <f>IF(CH33='Summary Sheet'!$U$21,Working!CH17,0)</f>
        <v>0</v>
      </c>
      <c r="CI97" s="18">
        <f>IF(CI33='Summary Sheet'!$U$21,Working!CI17,0)</f>
        <v>0</v>
      </c>
      <c r="CJ97" s="18">
        <f>IF(CJ33='Summary Sheet'!$U$21,Working!CJ17,0)</f>
        <v>0</v>
      </c>
      <c r="CK97" s="18">
        <v>31</v>
      </c>
      <c r="CL97" s="18">
        <f t="shared" si="223"/>
        <v>0</v>
      </c>
      <c r="CM97" s="18">
        <f t="shared" si="224"/>
        <v>0</v>
      </c>
      <c r="CN97" s="18">
        <f t="shared" si="219"/>
        <v>0</v>
      </c>
    </row>
    <row r="98" spans="2:92" x14ac:dyDescent="0.25">
      <c r="C98" s="71">
        <v>915.62139860035199</v>
      </c>
      <c r="D98" s="71">
        <v>915.62139860035199</v>
      </c>
      <c r="E98" s="71">
        <v>915.62139860035199</v>
      </c>
      <c r="F98" s="71">
        <v>915.62139860035199</v>
      </c>
      <c r="G98" s="71">
        <v>915.62139860035199</v>
      </c>
      <c r="H98" s="71">
        <v>915.62139860035199</v>
      </c>
      <c r="I98" s="71">
        <v>708.58216428866217</v>
      </c>
      <c r="J98" s="71">
        <v>0</v>
      </c>
      <c r="K98" s="71">
        <v>0</v>
      </c>
      <c r="L98" s="71">
        <v>0</v>
      </c>
      <c r="M98" s="71">
        <v>0</v>
      </c>
      <c r="N98" s="71">
        <v>0</v>
      </c>
      <c r="O98" s="71">
        <v>0</v>
      </c>
      <c r="P98" s="71">
        <v>0</v>
      </c>
      <c r="Q98" s="71">
        <v>0</v>
      </c>
      <c r="R98" s="71">
        <v>0</v>
      </c>
      <c r="S98" s="71">
        <v>0</v>
      </c>
      <c r="T98" s="71">
        <v>149.54580736524744</v>
      </c>
      <c r="U98" s="71">
        <v>882.55548048572405</v>
      </c>
      <c r="V98" s="71">
        <v>915.62139860035199</v>
      </c>
      <c r="W98" s="71">
        <v>915.62139860035199</v>
      </c>
      <c r="X98" s="71">
        <v>915.62139860035199</v>
      </c>
      <c r="Y98" s="71">
        <v>915.62139860035199</v>
      </c>
      <c r="Z98" s="71">
        <v>915.62139860035199</v>
      </c>
      <c r="AF98" s="18" t="s">
        <v>3</v>
      </c>
      <c r="AG98" s="17">
        <v>4</v>
      </c>
      <c r="AH98" s="18">
        <f t="shared" ref="AH98:BE98" si="226">AH50*AH82</f>
        <v>0</v>
      </c>
      <c r="AI98" s="18">
        <f t="shared" si="226"/>
        <v>0</v>
      </c>
      <c r="AJ98" s="18">
        <f t="shared" si="226"/>
        <v>0</v>
      </c>
      <c r="AK98" s="18">
        <f t="shared" si="226"/>
        <v>0</v>
      </c>
      <c r="AL98" s="18">
        <f t="shared" si="226"/>
        <v>0</v>
      </c>
      <c r="AM98" s="18">
        <f t="shared" si="226"/>
        <v>0</v>
      </c>
      <c r="AN98" s="18">
        <f t="shared" si="226"/>
        <v>0</v>
      </c>
      <c r="AO98" s="18">
        <f t="shared" si="226"/>
        <v>0</v>
      </c>
      <c r="AP98" s="18">
        <f t="shared" si="226"/>
        <v>0</v>
      </c>
      <c r="AQ98" s="18">
        <f t="shared" si="226"/>
        <v>152.98027294122136</v>
      </c>
      <c r="AR98" s="18">
        <f t="shared" si="226"/>
        <v>258.91276878776318</v>
      </c>
      <c r="AS98" s="18">
        <f t="shared" si="226"/>
        <v>326.77585603902457</v>
      </c>
      <c r="AT98" s="18">
        <f t="shared" si="226"/>
        <v>366.97481847140091</v>
      </c>
      <c r="AU98" s="18">
        <f t="shared" si="226"/>
        <v>360.3079776837709</v>
      </c>
      <c r="AV98" s="18">
        <f t="shared" si="226"/>
        <v>309.30184217303304</v>
      </c>
      <c r="AW98" s="18">
        <f t="shared" si="226"/>
        <v>232.19309848718913</v>
      </c>
      <c r="AX98" s="18">
        <f t="shared" si="226"/>
        <v>131.76908160260541</v>
      </c>
      <c r="AY98" s="18">
        <f t="shared" si="226"/>
        <v>0</v>
      </c>
      <c r="AZ98" s="18">
        <f t="shared" si="226"/>
        <v>0</v>
      </c>
      <c r="BA98" s="18">
        <f t="shared" si="226"/>
        <v>0</v>
      </c>
      <c r="BB98" s="18">
        <f t="shared" si="226"/>
        <v>0</v>
      </c>
      <c r="BC98" s="18">
        <f t="shared" si="226"/>
        <v>0</v>
      </c>
      <c r="BD98" s="18">
        <f t="shared" si="226"/>
        <v>0</v>
      </c>
      <c r="BE98" s="18">
        <f t="shared" si="226"/>
        <v>0</v>
      </c>
      <c r="BF98" s="18">
        <v>30</v>
      </c>
      <c r="BG98" s="18">
        <f t="shared" si="221"/>
        <v>45840.336775414471</v>
      </c>
      <c r="BH98" s="18">
        <f t="shared" si="222"/>
        <v>18336.134710165788</v>
      </c>
      <c r="BI98" s="18">
        <f t="shared" si="218"/>
        <v>64176.471485580259</v>
      </c>
      <c r="BK98" s="18" t="s">
        <v>3</v>
      </c>
      <c r="BL98" s="17">
        <v>4</v>
      </c>
      <c r="BM98" s="18">
        <f>IF(BM34='Summary Sheet'!$U$21,Working!BM18,0)</f>
        <v>0</v>
      </c>
      <c r="BN98" s="18">
        <f>IF(BN34='Summary Sheet'!$U$21,Working!BN18,0)</f>
        <v>0</v>
      </c>
      <c r="BO98" s="18">
        <f>IF(BO34='Summary Sheet'!$U$21,Working!BO18,0)</f>
        <v>0</v>
      </c>
      <c r="BP98" s="18">
        <f>IF(BP34='Summary Sheet'!$U$21,Working!BP18,0)</f>
        <v>0</v>
      </c>
      <c r="BQ98" s="18">
        <f>IF(BQ34='Summary Sheet'!$U$21,Working!BQ18,0)</f>
        <v>0</v>
      </c>
      <c r="BR98" s="18">
        <f>IF(BR34='Summary Sheet'!$U$21,Working!BR18,0)</f>
        <v>0</v>
      </c>
      <c r="BS98" s="18">
        <f>IF(BS34='Summary Sheet'!$U$21,Working!BS18,0)</f>
        <v>0</v>
      </c>
      <c r="BT98" s="18">
        <f>IF(BT34='Summary Sheet'!$U$21,Working!BT18,0)</f>
        <v>0</v>
      </c>
      <c r="BU98" s="18">
        <f>IF(BU34='Summary Sheet'!$U$21,Working!BU18,0)</f>
        <v>0</v>
      </c>
      <c r="BV98" s="18">
        <f>IF(BV34='Summary Sheet'!$U$21,Working!BV18,0)</f>
        <v>0</v>
      </c>
      <c r="BW98" s="18">
        <f>IF(BW34='Summary Sheet'!$U$21,Working!BW18,0)</f>
        <v>0</v>
      </c>
      <c r="BX98" s="18">
        <f>IF(BX34='Summary Sheet'!$U$21,Working!BX18,0)</f>
        <v>0</v>
      </c>
      <c r="BY98" s="18">
        <f>IF(BY34='Summary Sheet'!$U$21,Working!BY18,0)</f>
        <v>0</v>
      </c>
      <c r="BZ98" s="18">
        <f>IF(BZ34='Summary Sheet'!$U$21,Working!BZ18,0)</f>
        <v>0</v>
      </c>
      <c r="CA98" s="18">
        <f>IF(CA34='Summary Sheet'!$U$21,Working!CA18,0)</f>
        <v>0</v>
      </c>
      <c r="CB98" s="18">
        <f>IF(CB34='Summary Sheet'!$U$21,Working!CB18,0)</f>
        <v>0</v>
      </c>
      <c r="CC98" s="18">
        <f>IF(CC34='Summary Sheet'!$U$21,Working!CC18,0)</f>
        <v>0</v>
      </c>
      <c r="CD98" s="18">
        <f>IF(CD34='Summary Sheet'!$U$21,Working!CD18,0)</f>
        <v>0</v>
      </c>
      <c r="CE98" s="18">
        <f>IF(CE34='Summary Sheet'!$U$21,Working!CE18,0)</f>
        <v>0</v>
      </c>
      <c r="CF98" s="18">
        <f>IF(CF34='Summary Sheet'!$U$21,Working!CF18,0)</f>
        <v>0</v>
      </c>
      <c r="CG98" s="18">
        <f>IF(CG34='Summary Sheet'!$U$21,Working!CG18,0)</f>
        <v>0</v>
      </c>
      <c r="CH98" s="18">
        <f>IF(CH34='Summary Sheet'!$U$21,Working!CH18,0)</f>
        <v>0</v>
      </c>
      <c r="CI98" s="18">
        <f>IF(CI34='Summary Sheet'!$U$21,Working!CI18,0)</f>
        <v>0</v>
      </c>
      <c r="CJ98" s="18">
        <f>IF(CJ34='Summary Sheet'!$U$21,Working!CJ18,0)</f>
        <v>0</v>
      </c>
      <c r="CK98" s="18">
        <v>30</v>
      </c>
      <c r="CL98" s="18">
        <f t="shared" si="223"/>
        <v>0</v>
      </c>
      <c r="CM98" s="18">
        <f t="shared" si="224"/>
        <v>0</v>
      </c>
      <c r="CN98" s="18">
        <f t="shared" si="219"/>
        <v>0</v>
      </c>
    </row>
    <row r="99" spans="2:92" x14ac:dyDescent="0.25">
      <c r="C99" s="71">
        <v>929.95401813260082</v>
      </c>
      <c r="D99" s="71">
        <v>929.95401813260082</v>
      </c>
      <c r="E99" s="71">
        <v>929.95401813260082</v>
      </c>
      <c r="F99" s="71">
        <v>929.95401813260082</v>
      </c>
      <c r="G99" s="71">
        <v>929.95401813260082</v>
      </c>
      <c r="H99" s="71">
        <v>929.95401813260082</v>
      </c>
      <c r="I99" s="71">
        <v>929.95401813260082</v>
      </c>
      <c r="J99" s="71">
        <v>211.99080937637649</v>
      </c>
      <c r="K99" s="71">
        <v>0</v>
      </c>
      <c r="L99" s="71">
        <v>0</v>
      </c>
      <c r="M99" s="71">
        <v>0</v>
      </c>
      <c r="N99" s="71">
        <v>0</v>
      </c>
      <c r="O99" s="71">
        <v>0</v>
      </c>
      <c r="P99" s="71">
        <v>0</v>
      </c>
      <c r="Q99" s="71">
        <v>0</v>
      </c>
      <c r="R99" s="71">
        <v>0</v>
      </c>
      <c r="S99" s="71">
        <v>0</v>
      </c>
      <c r="T99" s="71">
        <v>649.46946166548639</v>
      </c>
      <c r="U99" s="71">
        <v>929.95401813260082</v>
      </c>
      <c r="V99" s="71">
        <v>929.95401813260082</v>
      </c>
      <c r="W99" s="71">
        <v>929.95401813260082</v>
      </c>
      <c r="X99" s="71">
        <v>929.95401813260082</v>
      </c>
      <c r="Y99" s="71">
        <v>929.95401813260082</v>
      </c>
      <c r="Z99" s="71">
        <v>929.95401813260082</v>
      </c>
      <c r="AF99" s="18" t="s">
        <v>4</v>
      </c>
      <c r="AG99" s="17">
        <v>5</v>
      </c>
      <c r="AH99" s="18">
        <f t="shared" ref="AH99:BE99" si="227">AH51*AH83</f>
        <v>0</v>
      </c>
      <c r="AI99" s="18">
        <f t="shared" si="227"/>
        <v>0</v>
      </c>
      <c r="AJ99" s="18">
        <f t="shared" si="227"/>
        <v>0</v>
      </c>
      <c r="AK99" s="18">
        <f t="shared" si="227"/>
        <v>0</v>
      </c>
      <c r="AL99" s="18">
        <f t="shared" si="227"/>
        <v>0</v>
      </c>
      <c r="AM99" s="18">
        <f t="shared" si="227"/>
        <v>0</v>
      </c>
      <c r="AN99" s="18">
        <f t="shared" si="227"/>
        <v>0</v>
      </c>
      <c r="AO99" s="18">
        <f t="shared" si="227"/>
        <v>0</v>
      </c>
      <c r="AP99" s="18">
        <f t="shared" si="227"/>
        <v>0</v>
      </c>
      <c r="AQ99" s="18">
        <f t="shared" si="227"/>
        <v>39.890871571914559</v>
      </c>
      <c r="AR99" s="18">
        <f t="shared" si="227"/>
        <v>105.23831292658576</v>
      </c>
      <c r="AS99" s="18">
        <f t="shared" si="227"/>
        <v>143.43021190306214</v>
      </c>
      <c r="AT99" s="18">
        <f t="shared" si="227"/>
        <v>146.850718371363</v>
      </c>
      <c r="AU99" s="18">
        <f t="shared" si="227"/>
        <v>147.02908147375436</v>
      </c>
      <c r="AV99" s="18">
        <f t="shared" si="227"/>
        <v>126.22845455840208</v>
      </c>
      <c r="AW99" s="18">
        <f t="shared" si="227"/>
        <v>71.877509854937657</v>
      </c>
      <c r="AX99" s="18">
        <f t="shared" si="227"/>
        <v>25.016747116616404</v>
      </c>
      <c r="AY99" s="18">
        <f t="shared" si="227"/>
        <v>0</v>
      </c>
      <c r="AZ99" s="18">
        <f t="shared" si="227"/>
        <v>0</v>
      </c>
      <c r="BA99" s="18">
        <f t="shared" si="227"/>
        <v>0</v>
      </c>
      <c r="BB99" s="18">
        <f t="shared" si="227"/>
        <v>0</v>
      </c>
      <c r="BC99" s="18">
        <f t="shared" si="227"/>
        <v>0</v>
      </c>
      <c r="BD99" s="18">
        <f t="shared" si="227"/>
        <v>0</v>
      </c>
      <c r="BE99" s="18">
        <f t="shared" si="227"/>
        <v>0</v>
      </c>
      <c r="BF99" s="18">
        <v>31</v>
      </c>
      <c r="BG99" s="18">
        <f t="shared" si="221"/>
        <v>17837.442243625512</v>
      </c>
      <c r="BH99" s="18">
        <f t="shared" si="222"/>
        <v>7134.976897450204</v>
      </c>
      <c r="BI99" s="18">
        <f t="shared" si="218"/>
        <v>24972.419141075716</v>
      </c>
      <c r="BK99" s="18" t="s">
        <v>4</v>
      </c>
      <c r="BL99" s="17">
        <v>5</v>
      </c>
      <c r="BM99" s="18">
        <f>IF(BM35='Summary Sheet'!$U$21,Working!BM19,0)</f>
        <v>0</v>
      </c>
      <c r="BN99" s="18">
        <f>IF(BN35='Summary Sheet'!$U$21,Working!BN19,0)</f>
        <v>0</v>
      </c>
      <c r="BO99" s="18">
        <f>IF(BO35='Summary Sheet'!$U$21,Working!BO19,0)</f>
        <v>0</v>
      </c>
      <c r="BP99" s="18">
        <f>IF(BP35='Summary Sheet'!$U$21,Working!BP19,0)</f>
        <v>0</v>
      </c>
      <c r="BQ99" s="18">
        <f>IF(BQ35='Summary Sheet'!$U$21,Working!BQ19,0)</f>
        <v>0</v>
      </c>
      <c r="BR99" s="18">
        <f>IF(BR35='Summary Sheet'!$U$21,Working!BR19,0)</f>
        <v>0</v>
      </c>
      <c r="BS99" s="18">
        <f>IF(BS35='Summary Sheet'!$U$21,Working!BS19,0)</f>
        <v>0</v>
      </c>
      <c r="BT99" s="18">
        <f>IF(BT35='Summary Sheet'!$U$21,Working!BT19,0)</f>
        <v>0</v>
      </c>
      <c r="BU99" s="18">
        <f>IF(BU35='Summary Sheet'!$U$21,Working!BU19,0)</f>
        <v>0</v>
      </c>
      <c r="BV99" s="18">
        <f>IF(BV35='Summary Sheet'!$U$21,Working!BV19,0)</f>
        <v>0</v>
      </c>
      <c r="BW99" s="18">
        <f>IF(BW35='Summary Sheet'!$U$21,Working!BW19,0)</f>
        <v>0</v>
      </c>
      <c r="BX99" s="18">
        <f>IF(BX35='Summary Sheet'!$U$21,Working!BX19,0)</f>
        <v>0</v>
      </c>
      <c r="BY99" s="18">
        <f>IF(BY35='Summary Sheet'!$U$21,Working!BY19,0)</f>
        <v>0</v>
      </c>
      <c r="BZ99" s="18">
        <f>IF(BZ35='Summary Sheet'!$U$21,Working!BZ19,0)</f>
        <v>0</v>
      </c>
      <c r="CA99" s="18">
        <f>IF(CA35='Summary Sheet'!$U$21,Working!CA19,0)</f>
        <v>0</v>
      </c>
      <c r="CB99" s="18">
        <f>IF(CB35='Summary Sheet'!$U$21,Working!CB19,0)</f>
        <v>0</v>
      </c>
      <c r="CC99" s="18">
        <f>IF(CC35='Summary Sheet'!$U$21,Working!CC19,0)</f>
        <v>0</v>
      </c>
      <c r="CD99" s="18">
        <f>IF(CD35='Summary Sheet'!$U$21,Working!CD19,0)</f>
        <v>0</v>
      </c>
      <c r="CE99" s="18">
        <f>IF(CE35='Summary Sheet'!$U$21,Working!CE19,0)</f>
        <v>0</v>
      </c>
      <c r="CF99" s="18">
        <f>IF(CF35='Summary Sheet'!$U$21,Working!CF19,0)</f>
        <v>0</v>
      </c>
      <c r="CG99" s="18">
        <f>IF(CG35='Summary Sheet'!$U$21,Working!CG19,0)</f>
        <v>0</v>
      </c>
      <c r="CH99" s="18">
        <f>IF(CH35='Summary Sheet'!$U$21,Working!CH19,0)</f>
        <v>0</v>
      </c>
      <c r="CI99" s="18">
        <f>IF(CI35='Summary Sheet'!$U$21,Working!CI19,0)</f>
        <v>0</v>
      </c>
      <c r="CJ99" s="18">
        <f>IF(CJ35='Summary Sheet'!$U$21,Working!CJ19,0)</f>
        <v>0</v>
      </c>
      <c r="CK99" s="18">
        <v>31</v>
      </c>
      <c r="CL99" s="18">
        <f t="shared" si="223"/>
        <v>0</v>
      </c>
      <c r="CM99" s="18">
        <f t="shared" si="224"/>
        <v>0</v>
      </c>
      <c r="CN99" s="18">
        <f t="shared" si="219"/>
        <v>0</v>
      </c>
    </row>
    <row r="100" spans="2:92" x14ac:dyDescent="0.25">
      <c r="C100" s="71">
        <v>926.2309993822131</v>
      </c>
      <c r="D100" s="71">
        <v>926.2309993822131</v>
      </c>
      <c r="E100" s="71">
        <v>926.2309993822131</v>
      </c>
      <c r="F100" s="71">
        <v>926.2309993822131</v>
      </c>
      <c r="G100" s="71">
        <v>926.2309993822131</v>
      </c>
      <c r="H100" s="71">
        <v>926.2309993822131</v>
      </c>
      <c r="I100" s="71">
        <v>926.2309993822131</v>
      </c>
      <c r="J100" s="71">
        <v>506.66274415181994</v>
      </c>
      <c r="K100" s="71">
        <v>0</v>
      </c>
      <c r="L100" s="71">
        <v>0</v>
      </c>
      <c r="M100" s="71">
        <v>0</v>
      </c>
      <c r="N100" s="71">
        <v>0</v>
      </c>
      <c r="O100" s="71">
        <v>0</v>
      </c>
      <c r="P100" s="71">
        <v>0</v>
      </c>
      <c r="Q100" s="71">
        <v>0</v>
      </c>
      <c r="R100" s="71">
        <v>0</v>
      </c>
      <c r="S100" s="71">
        <v>0</v>
      </c>
      <c r="T100" s="71">
        <v>820.31715639663037</v>
      </c>
      <c r="U100" s="71">
        <v>926.2309993822131</v>
      </c>
      <c r="V100" s="71">
        <v>926.2309993822131</v>
      </c>
      <c r="W100" s="71">
        <v>926.2309993822131</v>
      </c>
      <c r="X100" s="71">
        <v>926.2309993822131</v>
      </c>
      <c r="Y100" s="71">
        <v>926.2309993822131</v>
      </c>
      <c r="Z100" s="71">
        <v>926.2309993822131</v>
      </c>
      <c r="AF100" s="18" t="s">
        <v>5</v>
      </c>
      <c r="AG100" s="17">
        <v>6</v>
      </c>
      <c r="AH100" s="18">
        <f t="shared" ref="AH100:BE100" si="228">AH52*AH84</f>
        <v>0</v>
      </c>
      <c r="AI100" s="18">
        <f t="shared" si="228"/>
        <v>0</v>
      </c>
      <c r="AJ100" s="18">
        <f t="shared" si="228"/>
        <v>0</v>
      </c>
      <c r="AK100" s="18">
        <f t="shared" si="228"/>
        <v>0</v>
      </c>
      <c r="AL100" s="18">
        <f t="shared" si="228"/>
        <v>0</v>
      </c>
      <c r="AM100" s="18">
        <f t="shared" si="228"/>
        <v>0</v>
      </c>
      <c r="AN100" s="18">
        <f t="shared" si="228"/>
        <v>0</v>
      </c>
      <c r="AO100" s="18">
        <f t="shared" si="228"/>
        <v>0</v>
      </c>
      <c r="AP100" s="18">
        <f t="shared" si="228"/>
        <v>0</v>
      </c>
      <c r="AQ100" s="18">
        <f t="shared" si="228"/>
        <v>0</v>
      </c>
      <c r="AR100" s="18">
        <f t="shared" si="228"/>
        <v>130.95563601784295</v>
      </c>
      <c r="AS100" s="18">
        <f t="shared" si="228"/>
        <v>189.1706666950098</v>
      </c>
      <c r="AT100" s="18">
        <f t="shared" si="228"/>
        <v>201.86607920926582</v>
      </c>
      <c r="AU100" s="18">
        <f t="shared" si="228"/>
        <v>184.96966869692326</v>
      </c>
      <c r="AV100" s="18">
        <f t="shared" si="228"/>
        <v>156.6119089269115</v>
      </c>
      <c r="AW100" s="18">
        <f t="shared" si="228"/>
        <v>90.276723140343748</v>
      </c>
      <c r="AX100" s="18">
        <f t="shared" si="228"/>
        <v>3.5894870950336712</v>
      </c>
      <c r="AY100" s="18">
        <f t="shared" si="228"/>
        <v>0</v>
      </c>
      <c r="AZ100" s="18">
        <f t="shared" si="228"/>
        <v>0</v>
      </c>
      <c r="BA100" s="18">
        <f t="shared" si="228"/>
        <v>0</v>
      </c>
      <c r="BB100" s="18">
        <f t="shared" si="228"/>
        <v>0</v>
      </c>
      <c r="BC100" s="18">
        <f t="shared" si="228"/>
        <v>0</v>
      </c>
      <c r="BD100" s="18">
        <f t="shared" si="228"/>
        <v>0</v>
      </c>
      <c r="BE100" s="18">
        <f t="shared" si="228"/>
        <v>0</v>
      </c>
      <c r="BF100" s="18">
        <v>30</v>
      </c>
      <c r="BG100" s="18">
        <f t="shared" si="221"/>
        <v>20516.5750667428</v>
      </c>
      <c r="BH100" s="18">
        <f t="shared" si="222"/>
        <v>8206.6300266971193</v>
      </c>
      <c r="BI100" s="18">
        <f t="shared" si="218"/>
        <v>28723.205093439919</v>
      </c>
      <c r="BK100" s="18" t="s">
        <v>5</v>
      </c>
      <c r="BL100" s="17">
        <v>6</v>
      </c>
      <c r="BM100" s="18">
        <f>IF(BM36='Summary Sheet'!$U$21,Working!BM20,0)</f>
        <v>0</v>
      </c>
      <c r="BN100" s="18">
        <f>IF(BN36='Summary Sheet'!$U$21,Working!BN20,0)</f>
        <v>0</v>
      </c>
      <c r="BO100" s="18">
        <f>IF(BO36='Summary Sheet'!$U$21,Working!BO20,0)</f>
        <v>0</v>
      </c>
      <c r="BP100" s="18">
        <f>IF(BP36='Summary Sheet'!$U$21,Working!BP20,0)</f>
        <v>0</v>
      </c>
      <c r="BQ100" s="18">
        <f>IF(BQ36='Summary Sheet'!$U$21,Working!BQ20,0)</f>
        <v>0</v>
      </c>
      <c r="BR100" s="18">
        <f>IF(BR36='Summary Sheet'!$U$21,Working!BR20,0)</f>
        <v>0</v>
      </c>
      <c r="BS100" s="18">
        <f>IF(BS36='Summary Sheet'!$U$21,Working!BS20,0)</f>
        <v>0</v>
      </c>
      <c r="BT100" s="18">
        <f>IF(BT36='Summary Sheet'!$U$21,Working!BT20,0)</f>
        <v>0</v>
      </c>
      <c r="BU100" s="18">
        <f>IF(BU36='Summary Sheet'!$U$21,Working!BU20,0)</f>
        <v>0</v>
      </c>
      <c r="BV100" s="18">
        <f>IF(BV36='Summary Sheet'!$U$21,Working!BV20,0)</f>
        <v>0</v>
      </c>
      <c r="BW100" s="18">
        <f>IF(BW36='Summary Sheet'!$U$21,Working!BW20,0)</f>
        <v>0</v>
      </c>
      <c r="BX100" s="18">
        <f>IF(BX36='Summary Sheet'!$U$21,Working!BX20,0)</f>
        <v>0</v>
      </c>
      <c r="BY100" s="18">
        <f>IF(BY36='Summary Sheet'!$U$21,Working!BY20,0)</f>
        <v>0</v>
      </c>
      <c r="BZ100" s="18">
        <f>IF(BZ36='Summary Sheet'!$U$21,Working!BZ20,0)</f>
        <v>0</v>
      </c>
      <c r="CA100" s="18">
        <f>IF(CA36='Summary Sheet'!$U$21,Working!CA20,0)</f>
        <v>0</v>
      </c>
      <c r="CB100" s="18">
        <f>IF(CB36='Summary Sheet'!$U$21,Working!CB20,0)</f>
        <v>0</v>
      </c>
      <c r="CC100" s="18">
        <f>IF(CC36='Summary Sheet'!$U$21,Working!CC20,0)</f>
        <v>0</v>
      </c>
      <c r="CD100" s="18">
        <f>IF(CD36='Summary Sheet'!$U$21,Working!CD20,0)</f>
        <v>0</v>
      </c>
      <c r="CE100" s="18">
        <f>IF(CE36='Summary Sheet'!$U$21,Working!CE20,0)</f>
        <v>0</v>
      </c>
      <c r="CF100" s="18">
        <f>IF(CF36='Summary Sheet'!$U$21,Working!CF20,0)</f>
        <v>0</v>
      </c>
      <c r="CG100" s="18">
        <f>IF(CG36='Summary Sheet'!$U$21,Working!CG20,0)</f>
        <v>0</v>
      </c>
      <c r="CH100" s="18">
        <f>IF(CH36='Summary Sheet'!$U$21,Working!CH20,0)</f>
        <v>0</v>
      </c>
      <c r="CI100" s="18">
        <f>IF(CI36='Summary Sheet'!$U$21,Working!CI20,0)</f>
        <v>0</v>
      </c>
      <c r="CJ100" s="18">
        <f>IF(CJ36='Summary Sheet'!$U$21,Working!CJ20,0)</f>
        <v>0</v>
      </c>
      <c r="CK100" s="18">
        <v>30</v>
      </c>
      <c r="CL100" s="18">
        <f t="shared" si="223"/>
        <v>0</v>
      </c>
      <c r="CM100" s="18">
        <f t="shared" si="224"/>
        <v>0</v>
      </c>
      <c r="CN100" s="18">
        <f t="shared" si="219"/>
        <v>0</v>
      </c>
    </row>
    <row r="101" spans="2:92" x14ac:dyDescent="0.25">
      <c r="C101" s="71">
        <v>916.26503998826956</v>
      </c>
      <c r="D101" s="71">
        <v>916.26503998826956</v>
      </c>
      <c r="E101" s="71">
        <v>916.26503998826956</v>
      </c>
      <c r="F101" s="71">
        <v>916.26503998826956</v>
      </c>
      <c r="G101" s="71">
        <v>916.26503998826956</v>
      </c>
      <c r="H101" s="71">
        <v>916.26503998826956</v>
      </c>
      <c r="I101" s="71">
        <v>916.26503998826956</v>
      </c>
      <c r="J101" s="71">
        <v>463.06110173078179</v>
      </c>
      <c r="K101" s="71">
        <v>0</v>
      </c>
      <c r="L101" s="71">
        <v>0</v>
      </c>
      <c r="M101" s="71">
        <v>0</v>
      </c>
      <c r="N101" s="71">
        <v>0</v>
      </c>
      <c r="O101" s="71">
        <v>0</v>
      </c>
      <c r="P101" s="71">
        <v>0</v>
      </c>
      <c r="Q101" s="71">
        <v>0</v>
      </c>
      <c r="R101" s="71">
        <v>0</v>
      </c>
      <c r="S101" s="71">
        <v>0</v>
      </c>
      <c r="T101" s="71">
        <v>618.23163545575153</v>
      </c>
      <c r="U101" s="71">
        <v>916.26503998826956</v>
      </c>
      <c r="V101" s="71">
        <v>916.26503998826956</v>
      </c>
      <c r="W101" s="71">
        <v>916.26503998826956</v>
      </c>
      <c r="X101" s="71">
        <v>916.26503998826956</v>
      </c>
      <c r="Y101" s="71">
        <v>916.26503998826956</v>
      </c>
      <c r="Z101" s="71">
        <v>916.26503998826956</v>
      </c>
      <c r="AF101" s="18" t="s">
        <v>6</v>
      </c>
      <c r="AG101" s="17">
        <v>7</v>
      </c>
      <c r="AH101" s="18">
        <f t="shared" ref="AH101:BE101" si="229">AH53*AH85</f>
        <v>0</v>
      </c>
      <c r="AI101" s="18">
        <f t="shared" si="229"/>
        <v>0</v>
      </c>
      <c r="AJ101" s="18">
        <f t="shared" si="229"/>
        <v>0</v>
      </c>
      <c r="AK101" s="18">
        <f t="shared" si="229"/>
        <v>0</v>
      </c>
      <c r="AL101" s="18">
        <f t="shared" si="229"/>
        <v>0</v>
      </c>
      <c r="AM101" s="18">
        <f t="shared" si="229"/>
        <v>0</v>
      </c>
      <c r="AN101" s="18">
        <f t="shared" si="229"/>
        <v>0</v>
      </c>
      <c r="AO101" s="18">
        <f t="shared" si="229"/>
        <v>0</v>
      </c>
      <c r="AP101" s="18">
        <f t="shared" si="229"/>
        <v>0</v>
      </c>
      <c r="AQ101" s="18">
        <f t="shared" si="229"/>
        <v>8.2364118404612938</v>
      </c>
      <c r="AR101" s="18">
        <f t="shared" si="229"/>
        <v>110.67060308683546</v>
      </c>
      <c r="AS101" s="18">
        <f t="shared" si="229"/>
        <v>143.08834887732857</v>
      </c>
      <c r="AT101" s="18">
        <f t="shared" si="229"/>
        <v>141.8075009057419</v>
      </c>
      <c r="AU101" s="18">
        <f t="shared" si="229"/>
        <v>133.65666225152205</v>
      </c>
      <c r="AV101" s="18">
        <f t="shared" si="229"/>
        <v>114.00531428037598</v>
      </c>
      <c r="AW101" s="18">
        <f t="shared" si="229"/>
        <v>71.660850538675945</v>
      </c>
      <c r="AX101" s="18">
        <f t="shared" si="229"/>
        <v>23.942192896436111</v>
      </c>
      <c r="AY101" s="18">
        <f t="shared" si="229"/>
        <v>0</v>
      </c>
      <c r="AZ101" s="18">
        <f t="shared" si="229"/>
        <v>0</v>
      </c>
      <c r="BA101" s="18">
        <f t="shared" si="229"/>
        <v>0</v>
      </c>
      <c r="BB101" s="18">
        <f t="shared" si="229"/>
        <v>0</v>
      </c>
      <c r="BC101" s="18">
        <f t="shared" si="229"/>
        <v>0</v>
      </c>
      <c r="BD101" s="18">
        <f t="shared" si="229"/>
        <v>0</v>
      </c>
      <c r="BE101" s="18">
        <f t="shared" si="229"/>
        <v>0</v>
      </c>
      <c r="BF101" s="18">
        <v>31</v>
      </c>
      <c r="BG101" s="18">
        <f t="shared" si="221"/>
        <v>16542.21744642764</v>
      </c>
      <c r="BH101" s="18">
        <f t="shared" si="222"/>
        <v>6616.8869785710558</v>
      </c>
      <c r="BI101" s="18">
        <f t="shared" si="218"/>
        <v>23159.104424998695</v>
      </c>
      <c r="BK101" s="18" t="s">
        <v>6</v>
      </c>
      <c r="BL101" s="17">
        <v>7</v>
      </c>
      <c r="BM101" s="18">
        <f>IF(BM37='Summary Sheet'!$U$21,Working!BM21,0)</f>
        <v>0</v>
      </c>
      <c r="BN101" s="18">
        <f>IF(BN37='Summary Sheet'!$U$21,Working!BN21,0)</f>
        <v>0</v>
      </c>
      <c r="BO101" s="18">
        <f>IF(BO37='Summary Sheet'!$U$21,Working!BO21,0)</f>
        <v>0</v>
      </c>
      <c r="BP101" s="18">
        <f>IF(BP37='Summary Sheet'!$U$21,Working!BP21,0)</f>
        <v>0</v>
      </c>
      <c r="BQ101" s="18">
        <f>IF(BQ37='Summary Sheet'!$U$21,Working!BQ21,0)</f>
        <v>0</v>
      </c>
      <c r="BR101" s="18">
        <f>IF(BR37='Summary Sheet'!$U$21,Working!BR21,0)</f>
        <v>0</v>
      </c>
      <c r="BS101" s="18">
        <f>IF(BS37='Summary Sheet'!$U$21,Working!BS21,0)</f>
        <v>0</v>
      </c>
      <c r="BT101" s="18">
        <f>IF(BT37='Summary Sheet'!$U$21,Working!BT21,0)</f>
        <v>0</v>
      </c>
      <c r="BU101" s="18">
        <f>IF(BU37='Summary Sheet'!$U$21,Working!BU21,0)</f>
        <v>0</v>
      </c>
      <c r="BV101" s="18">
        <f>IF(BV37='Summary Sheet'!$U$21,Working!BV21,0)</f>
        <v>0</v>
      </c>
      <c r="BW101" s="18">
        <f>IF(BW37='Summary Sheet'!$U$21,Working!BW21,0)</f>
        <v>0</v>
      </c>
      <c r="BX101" s="18">
        <f>IF(BX37='Summary Sheet'!$U$21,Working!BX21,0)</f>
        <v>0</v>
      </c>
      <c r="BY101" s="18">
        <f>IF(BY37='Summary Sheet'!$U$21,Working!BY21,0)</f>
        <v>0</v>
      </c>
      <c r="BZ101" s="18">
        <f>IF(BZ37='Summary Sheet'!$U$21,Working!BZ21,0)</f>
        <v>0</v>
      </c>
      <c r="CA101" s="18">
        <f>IF(CA37='Summary Sheet'!$U$21,Working!CA21,0)</f>
        <v>0</v>
      </c>
      <c r="CB101" s="18">
        <f>IF(CB37='Summary Sheet'!$U$21,Working!CB21,0)</f>
        <v>0</v>
      </c>
      <c r="CC101" s="18">
        <f>IF(CC37='Summary Sheet'!$U$21,Working!CC21,0)</f>
        <v>0</v>
      </c>
      <c r="CD101" s="18">
        <f>IF(CD37='Summary Sheet'!$U$21,Working!CD21,0)</f>
        <v>0</v>
      </c>
      <c r="CE101" s="18">
        <f>IF(CE37='Summary Sheet'!$U$21,Working!CE21,0)</f>
        <v>0</v>
      </c>
      <c r="CF101" s="18">
        <f>IF(CF37='Summary Sheet'!$U$21,Working!CF21,0)</f>
        <v>0</v>
      </c>
      <c r="CG101" s="18">
        <f>IF(CG37='Summary Sheet'!$U$21,Working!CG21,0)</f>
        <v>0</v>
      </c>
      <c r="CH101" s="18">
        <f>IF(CH37='Summary Sheet'!$U$21,Working!CH21,0)</f>
        <v>0</v>
      </c>
      <c r="CI101" s="18">
        <f>IF(CI37='Summary Sheet'!$U$21,Working!CI21,0)</f>
        <v>0</v>
      </c>
      <c r="CJ101" s="18">
        <f>IF(CJ37='Summary Sheet'!$U$21,Working!CJ21,0)</f>
        <v>0</v>
      </c>
      <c r="CK101" s="18">
        <v>31</v>
      </c>
      <c r="CL101" s="18">
        <f t="shared" si="223"/>
        <v>0</v>
      </c>
      <c r="CM101" s="18">
        <f t="shared" si="224"/>
        <v>0</v>
      </c>
      <c r="CN101" s="18">
        <f t="shared" si="219"/>
        <v>0</v>
      </c>
    </row>
    <row r="102" spans="2:92" x14ac:dyDescent="0.25">
      <c r="C102" s="71">
        <v>915.78452385923777</v>
      </c>
      <c r="D102" s="71">
        <v>915.78452385923777</v>
      </c>
      <c r="E102" s="71">
        <v>915.78452385923777</v>
      </c>
      <c r="F102" s="71">
        <v>915.78452385923777</v>
      </c>
      <c r="G102" s="71">
        <v>915.78452385923777</v>
      </c>
      <c r="H102" s="71">
        <v>915.78452385923777</v>
      </c>
      <c r="I102" s="71">
        <v>855.7199404455431</v>
      </c>
      <c r="J102" s="71">
        <v>91.589311017108983</v>
      </c>
      <c r="K102" s="71">
        <v>0</v>
      </c>
      <c r="L102" s="71">
        <v>0</v>
      </c>
      <c r="M102" s="71">
        <v>0</v>
      </c>
      <c r="N102" s="71">
        <v>0</v>
      </c>
      <c r="O102" s="71">
        <v>0</v>
      </c>
      <c r="P102" s="71">
        <v>0</v>
      </c>
      <c r="Q102" s="71">
        <v>0</v>
      </c>
      <c r="R102" s="71">
        <v>0</v>
      </c>
      <c r="S102" s="71">
        <v>0</v>
      </c>
      <c r="T102" s="71">
        <v>242.7419083183012</v>
      </c>
      <c r="U102" s="71">
        <v>915.78452385923777</v>
      </c>
      <c r="V102" s="71">
        <v>915.78452385923777</v>
      </c>
      <c r="W102" s="71">
        <v>915.78452385923777</v>
      </c>
      <c r="X102" s="71">
        <v>915.78452385923777</v>
      </c>
      <c r="Y102" s="71">
        <v>915.78452385923777</v>
      </c>
      <c r="Z102" s="71">
        <v>915.78452385923777</v>
      </c>
      <c r="AF102" s="18" t="s">
        <v>7</v>
      </c>
      <c r="AG102" s="17">
        <v>8</v>
      </c>
      <c r="AH102" s="18">
        <f t="shared" ref="AH102:BE102" si="230">AH54*AH86</f>
        <v>0</v>
      </c>
      <c r="AI102" s="18">
        <f t="shared" si="230"/>
        <v>0</v>
      </c>
      <c r="AJ102" s="18">
        <f t="shared" si="230"/>
        <v>0</v>
      </c>
      <c r="AK102" s="18">
        <f t="shared" si="230"/>
        <v>0</v>
      </c>
      <c r="AL102" s="18">
        <f t="shared" si="230"/>
        <v>0</v>
      </c>
      <c r="AM102" s="18">
        <f t="shared" si="230"/>
        <v>0</v>
      </c>
      <c r="AN102" s="18">
        <f t="shared" si="230"/>
        <v>0</v>
      </c>
      <c r="AO102" s="18">
        <f t="shared" si="230"/>
        <v>0</v>
      </c>
      <c r="AP102" s="18">
        <f t="shared" si="230"/>
        <v>0</v>
      </c>
      <c r="AQ102" s="18">
        <f t="shared" si="230"/>
        <v>37.129163044846223</v>
      </c>
      <c r="AR102" s="18">
        <f t="shared" si="230"/>
        <v>79.383279139125946</v>
      </c>
      <c r="AS102" s="18">
        <f t="shared" si="230"/>
        <v>92.123430137563645</v>
      </c>
      <c r="AT102" s="18">
        <f t="shared" si="230"/>
        <v>94.126359619995554</v>
      </c>
      <c r="AU102" s="18">
        <f t="shared" si="230"/>
        <v>95.05599407020479</v>
      </c>
      <c r="AV102" s="18">
        <f t="shared" si="230"/>
        <v>80.513104461864145</v>
      </c>
      <c r="AW102" s="18">
        <f t="shared" si="230"/>
        <v>60.840585097574639</v>
      </c>
      <c r="AX102" s="18">
        <f t="shared" si="230"/>
        <v>33.05180039070077</v>
      </c>
      <c r="AY102" s="18">
        <f t="shared" si="230"/>
        <v>0</v>
      </c>
      <c r="AZ102" s="18">
        <f t="shared" si="230"/>
        <v>0</v>
      </c>
      <c r="BA102" s="18">
        <f t="shared" si="230"/>
        <v>0</v>
      </c>
      <c r="BB102" s="18">
        <f t="shared" si="230"/>
        <v>0</v>
      </c>
      <c r="BC102" s="18">
        <f t="shared" si="230"/>
        <v>0</v>
      </c>
      <c r="BD102" s="18">
        <f t="shared" si="230"/>
        <v>0</v>
      </c>
      <c r="BE102" s="18">
        <f t="shared" si="230"/>
        <v>0</v>
      </c>
      <c r="BF102" s="18">
        <v>31</v>
      </c>
      <c r="BG102" s="18">
        <f t="shared" si="221"/>
        <v>12670.66799629868</v>
      </c>
      <c r="BH102" s="18">
        <f t="shared" si="222"/>
        <v>5068.2671985194702</v>
      </c>
      <c r="BI102" s="18">
        <f t="shared" si="218"/>
        <v>17738.93519481815</v>
      </c>
      <c r="BK102" s="18" t="s">
        <v>7</v>
      </c>
      <c r="BL102" s="17">
        <v>8</v>
      </c>
      <c r="BM102" s="18">
        <f>IF(BM38='Summary Sheet'!$U$21,Working!BM22,0)</f>
        <v>0</v>
      </c>
      <c r="BN102" s="18">
        <f>IF(BN38='Summary Sheet'!$U$21,Working!BN22,0)</f>
        <v>0</v>
      </c>
      <c r="BO102" s="18">
        <f>IF(BO38='Summary Sheet'!$U$21,Working!BO22,0)</f>
        <v>0</v>
      </c>
      <c r="BP102" s="18">
        <f>IF(BP38='Summary Sheet'!$U$21,Working!BP22,0)</f>
        <v>0</v>
      </c>
      <c r="BQ102" s="18">
        <f>IF(BQ38='Summary Sheet'!$U$21,Working!BQ22,0)</f>
        <v>0</v>
      </c>
      <c r="BR102" s="18">
        <f>IF(BR38='Summary Sheet'!$U$21,Working!BR22,0)</f>
        <v>0</v>
      </c>
      <c r="BS102" s="18">
        <f>IF(BS38='Summary Sheet'!$U$21,Working!BS22,0)</f>
        <v>0</v>
      </c>
      <c r="BT102" s="18">
        <f>IF(BT38='Summary Sheet'!$U$21,Working!BT22,0)</f>
        <v>0</v>
      </c>
      <c r="BU102" s="18">
        <f>IF(BU38='Summary Sheet'!$U$21,Working!BU22,0)</f>
        <v>0</v>
      </c>
      <c r="BV102" s="18">
        <f>IF(BV38='Summary Sheet'!$U$21,Working!BV22,0)</f>
        <v>0</v>
      </c>
      <c r="BW102" s="18">
        <f>IF(BW38='Summary Sheet'!$U$21,Working!BW22,0)</f>
        <v>0</v>
      </c>
      <c r="BX102" s="18">
        <f>IF(BX38='Summary Sheet'!$U$21,Working!BX22,0)</f>
        <v>0</v>
      </c>
      <c r="BY102" s="18">
        <f>IF(BY38='Summary Sheet'!$U$21,Working!BY22,0)</f>
        <v>0</v>
      </c>
      <c r="BZ102" s="18">
        <f>IF(BZ38='Summary Sheet'!$U$21,Working!BZ22,0)</f>
        <v>0</v>
      </c>
      <c r="CA102" s="18">
        <f>IF(CA38='Summary Sheet'!$U$21,Working!CA22,0)</f>
        <v>0</v>
      </c>
      <c r="CB102" s="18">
        <f>IF(CB38='Summary Sheet'!$U$21,Working!CB22,0)</f>
        <v>0</v>
      </c>
      <c r="CC102" s="18">
        <f>IF(CC38='Summary Sheet'!$U$21,Working!CC22,0)</f>
        <v>0</v>
      </c>
      <c r="CD102" s="18">
        <f>IF(CD38='Summary Sheet'!$U$21,Working!CD22,0)</f>
        <v>0</v>
      </c>
      <c r="CE102" s="18">
        <f>IF(CE38='Summary Sheet'!$U$21,Working!CE22,0)</f>
        <v>0</v>
      </c>
      <c r="CF102" s="18">
        <f>IF(CF38='Summary Sheet'!$U$21,Working!CF22,0)</f>
        <v>0</v>
      </c>
      <c r="CG102" s="18">
        <f>IF(CG38='Summary Sheet'!$U$21,Working!CG22,0)</f>
        <v>0</v>
      </c>
      <c r="CH102" s="18">
        <f>IF(CH38='Summary Sheet'!$U$21,Working!CH22,0)</f>
        <v>0</v>
      </c>
      <c r="CI102" s="18">
        <f>IF(CI38='Summary Sheet'!$U$21,Working!CI22,0)</f>
        <v>0</v>
      </c>
      <c r="CJ102" s="18">
        <f>IF(CJ38='Summary Sheet'!$U$21,Working!CJ22,0)</f>
        <v>0</v>
      </c>
      <c r="CK102" s="18">
        <v>31</v>
      </c>
      <c r="CL102" s="18">
        <f t="shared" si="223"/>
        <v>0</v>
      </c>
      <c r="CM102" s="18">
        <f t="shared" si="224"/>
        <v>0</v>
      </c>
      <c r="CN102" s="18">
        <f t="shared" si="219"/>
        <v>0</v>
      </c>
    </row>
    <row r="103" spans="2:92" x14ac:dyDescent="0.25">
      <c r="C103" s="71">
        <v>915.60840378235162</v>
      </c>
      <c r="D103" s="71">
        <v>915.60840378235162</v>
      </c>
      <c r="E103" s="71">
        <v>915.60840378235162</v>
      </c>
      <c r="F103" s="71">
        <v>915.60840378235162</v>
      </c>
      <c r="G103" s="71">
        <v>915.60840378235162</v>
      </c>
      <c r="H103" s="71">
        <v>911.54049452565778</v>
      </c>
      <c r="I103" s="71">
        <v>284.87543841916812</v>
      </c>
      <c r="J103" s="71">
        <v>0</v>
      </c>
      <c r="K103" s="71">
        <v>0</v>
      </c>
      <c r="L103" s="71">
        <v>0</v>
      </c>
      <c r="M103" s="71">
        <v>0</v>
      </c>
      <c r="N103" s="71">
        <v>0</v>
      </c>
      <c r="O103" s="71">
        <v>0</v>
      </c>
      <c r="P103" s="71">
        <v>0</v>
      </c>
      <c r="Q103" s="71">
        <v>0</v>
      </c>
      <c r="R103" s="71">
        <v>0</v>
      </c>
      <c r="S103" s="71">
        <v>0</v>
      </c>
      <c r="T103" s="71">
        <v>2.0343643585485007</v>
      </c>
      <c r="U103" s="71">
        <v>759.96696080793333</v>
      </c>
      <c r="V103" s="71">
        <v>915.60840378235162</v>
      </c>
      <c r="W103" s="71">
        <v>915.60840378235162</v>
      </c>
      <c r="X103" s="71">
        <v>915.60840378235162</v>
      </c>
      <c r="Y103" s="71">
        <v>915.60840378235162</v>
      </c>
      <c r="Z103" s="71">
        <v>915.60840378235162</v>
      </c>
      <c r="AF103" s="18" t="s">
        <v>8</v>
      </c>
      <c r="AG103" s="17">
        <v>9</v>
      </c>
      <c r="AH103" s="18">
        <f t="shared" ref="AH103:BE103" si="231">AH55*AH87</f>
        <v>0</v>
      </c>
      <c r="AI103" s="18">
        <f t="shared" si="231"/>
        <v>0</v>
      </c>
      <c r="AJ103" s="18">
        <f t="shared" si="231"/>
        <v>0</v>
      </c>
      <c r="AK103" s="18">
        <f t="shared" si="231"/>
        <v>0</v>
      </c>
      <c r="AL103" s="18">
        <f t="shared" si="231"/>
        <v>0</v>
      </c>
      <c r="AM103" s="18">
        <f t="shared" si="231"/>
        <v>0</v>
      </c>
      <c r="AN103" s="18">
        <f t="shared" si="231"/>
        <v>0</v>
      </c>
      <c r="AO103" s="18">
        <f t="shared" si="231"/>
        <v>0</v>
      </c>
      <c r="AP103" s="18">
        <f t="shared" si="231"/>
        <v>19.298103597296215</v>
      </c>
      <c r="AQ103" s="18">
        <f t="shared" si="231"/>
        <v>73.257363300803505</v>
      </c>
      <c r="AR103" s="18">
        <f t="shared" si="231"/>
        <v>104.85644857890884</v>
      </c>
      <c r="AS103" s="18">
        <f t="shared" si="231"/>
        <v>119.2842804554157</v>
      </c>
      <c r="AT103" s="18">
        <f t="shared" si="231"/>
        <v>127.08234488395169</v>
      </c>
      <c r="AU103" s="18">
        <f t="shared" si="231"/>
        <v>121.19291240037688</v>
      </c>
      <c r="AV103" s="18">
        <f t="shared" si="231"/>
        <v>113.21584626581347</v>
      </c>
      <c r="AW103" s="18">
        <f t="shared" si="231"/>
        <v>88.965342659100088</v>
      </c>
      <c r="AX103" s="18">
        <f t="shared" si="231"/>
        <v>55.953409054584078</v>
      </c>
      <c r="AY103" s="18">
        <f t="shared" si="231"/>
        <v>11.921807172301632</v>
      </c>
      <c r="AZ103" s="18">
        <f t="shared" si="231"/>
        <v>0</v>
      </c>
      <c r="BA103" s="18">
        <f t="shared" si="231"/>
        <v>0</v>
      </c>
      <c r="BB103" s="18">
        <f t="shared" si="231"/>
        <v>0</v>
      </c>
      <c r="BC103" s="18">
        <f t="shared" si="231"/>
        <v>0</v>
      </c>
      <c r="BD103" s="18">
        <f t="shared" si="231"/>
        <v>0</v>
      </c>
      <c r="BE103" s="18">
        <f t="shared" si="231"/>
        <v>0</v>
      </c>
      <c r="BF103" s="18">
        <v>30</v>
      </c>
      <c r="BG103" s="18">
        <f t="shared" si="221"/>
        <v>17893.454107897542</v>
      </c>
      <c r="BH103" s="18">
        <f t="shared" si="222"/>
        <v>7157.3816431590203</v>
      </c>
      <c r="BI103" s="18">
        <f t="shared" si="218"/>
        <v>25050.835751056562</v>
      </c>
      <c r="BK103" s="18" t="s">
        <v>8</v>
      </c>
      <c r="BL103" s="17">
        <v>9</v>
      </c>
      <c r="BM103" s="18">
        <f>IF(BM39='Summary Sheet'!$U$21,Working!BM23,0)</f>
        <v>0</v>
      </c>
      <c r="BN103" s="18">
        <f>IF(BN39='Summary Sheet'!$U$21,Working!BN23,0)</f>
        <v>0</v>
      </c>
      <c r="BO103" s="18">
        <f>IF(BO39='Summary Sheet'!$U$21,Working!BO23,0)</f>
        <v>0</v>
      </c>
      <c r="BP103" s="18">
        <f>IF(BP39='Summary Sheet'!$U$21,Working!BP23,0)</f>
        <v>0</v>
      </c>
      <c r="BQ103" s="18">
        <f>IF(BQ39='Summary Sheet'!$U$21,Working!BQ23,0)</f>
        <v>0</v>
      </c>
      <c r="BR103" s="18">
        <f>IF(BR39='Summary Sheet'!$U$21,Working!BR23,0)</f>
        <v>0</v>
      </c>
      <c r="BS103" s="18">
        <f>IF(BS39='Summary Sheet'!$U$21,Working!BS23,0)</f>
        <v>0</v>
      </c>
      <c r="BT103" s="18">
        <f>IF(BT39='Summary Sheet'!$U$21,Working!BT23,0)</f>
        <v>0</v>
      </c>
      <c r="BU103" s="18">
        <f>IF(BU39='Summary Sheet'!$U$21,Working!BU23,0)</f>
        <v>0</v>
      </c>
      <c r="BV103" s="18">
        <f>IF(BV39='Summary Sheet'!$U$21,Working!BV23,0)</f>
        <v>0</v>
      </c>
      <c r="BW103" s="18">
        <f>IF(BW39='Summary Sheet'!$U$21,Working!BW23,0)</f>
        <v>0</v>
      </c>
      <c r="BX103" s="18">
        <f>IF(BX39='Summary Sheet'!$U$21,Working!BX23,0)</f>
        <v>0</v>
      </c>
      <c r="BY103" s="18">
        <f>IF(BY39='Summary Sheet'!$U$21,Working!BY23,0)</f>
        <v>0</v>
      </c>
      <c r="BZ103" s="18">
        <f>IF(BZ39='Summary Sheet'!$U$21,Working!BZ23,0)</f>
        <v>0</v>
      </c>
      <c r="CA103" s="18">
        <f>IF(CA39='Summary Sheet'!$U$21,Working!CA23,0)</f>
        <v>0</v>
      </c>
      <c r="CB103" s="18">
        <f>IF(CB39='Summary Sheet'!$U$21,Working!CB23,0)</f>
        <v>0</v>
      </c>
      <c r="CC103" s="18">
        <f>IF(CC39='Summary Sheet'!$U$21,Working!CC23,0)</f>
        <v>0</v>
      </c>
      <c r="CD103" s="18">
        <f>IF(CD39='Summary Sheet'!$U$21,Working!CD23,0)</f>
        <v>0</v>
      </c>
      <c r="CE103" s="18">
        <f>IF(CE39='Summary Sheet'!$U$21,Working!CE23,0)</f>
        <v>0</v>
      </c>
      <c r="CF103" s="18">
        <f>IF(CF39='Summary Sheet'!$U$21,Working!CF23,0)</f>
        <v>0</v>
      </c>
      <c r="CG103" s="18">
        <f>IF(CG39='Summary Sheet'!$U$21,Working!CG23,0)</f>
        <v>0</v>
      </c>
      <c r="CH103" s="18">
        <f>IF(CH39='Summary Sheet'!$U$21,Working!CH23,0)</f>
        <v>0</v>
      </c>
      <c r="CI103" s="18">
        <f>IF(CI39='Summary Sheet'!$U$21,Working!CI23,0)</f>
        <v>0</v>
      </c>
      <c r="CJ103" s="18">
        <f>IF(CJ39='Summary Sheet'!$U$21,Working!CJ23,0)</f>
        <v>0</v>
      </c>
      <c r="CK103" s="18">
        <v>30</v>
      </c>
      <c r="CL103" s="18">
        <f t="shared" si="223"/>
        <v>0</v>
      </c>
      <c r="CM103" s="18">
        <f t="shared" si="224"/>
        <v>0</v>
      </c>
      <c r="CN103" s="18">
        <f t="shared" si="219"/>
        <v>0</v>
      </c>
    </row>
    <row r="104" spans="2:92" x14ac:dyDescent="0.25">
      <c r="C104" s="71">
        <v>915.52857048571707</v>
      </c>
      <c r="D104" s="71">
        <v>915.52857048571707</v>
      </c>
      <c r="E104" s="71">
        <v>915.52857048571707</v>
      </c>
      <c r="F104" s="71">
        <v>915.52857048571707</v>
      </c>
      <c r="G104" s="71">
        <v>915.52857048571707</v>
      </c>
      <c r="H104" s="71">
        <v>496.65361221104814</v>
      </c>
      <c r="I104" s="71">
        <v>0</v>
      </c>
      <c r="J104" s="71">
        <v>0</v>
      </c>
      <c r="K104" s="71">
        <v>0</v>
      </c>
      <c r="L104" s="71">
        <v>0</v>
      </c>
      <c r="M104" s="71">
        <v>0</v>
      </c>
      <c r="N104" s="71">
        <v>0</v>
      </c>
      <c r="O104" s="71">
        <v>0</v>
      </c>
      <c r="P104" s="71">
        <v>0</v>
      </c>
      <c r="Q104" s="71">
        <v>0</v>
      </c>
      <c r="R104" s="71">
        <v>0</v>
      </c>
      <c r="S104" s="71">
        <v>0</v>
      </c>
      <c r="T104" s="71">
        <v>0</v>
      </c>
      <c r="U104" s="71">
        <v>336.67758326514496</v>
      </c>
      <c r="V104" s="71">
        <v>915.52857048571707</v>
      </c>
      <c r="W104" s="71">
        <v>915.52857048571707</v>
      </c>
      <c r="X104" s="71">
        <v>915.52857048571707</v>
      </c>
      <c r="Y104" s="71">
        <v>915.52857048571707</v>
      </c>
      <c r="Z104" s="71">
        <v>915.52857048571707</v>
      </c>
      <c r="AF104" s="18" t="s">
        <v>9</v>
      </c>
      <c r="AG104" s="17">
        <v>10</v>
      </c>
      <c r="AH104" s="18">
        <f t="shared" ref="AH104:BE104" si="232">AH56*AH88</f>
        <v>0</v>
      </c>
      <c r="AI104" s="18">
        <f t="shared" si="232"/>
        <v>0</v>
      </c>
      <c r="AJ104" s="18">
        <f t="shared" si="232"/>
        <v>0</v>
      </c>
      <c r="AK104" s="18">
        <f t="shared" si="232"/>
        <v>0</v>
      </c>
      <c r="AL104" s="18">
        <f t="shared" si="232"/>
        <v>0</v>
      </c>
      <c r="AM104" s="18">
        <f t="shared" si="232"/>
        <v>0</v>
      </c>
      <c r="AN104" s="18">
        <f t="shared" si="232"/>
        <v>0</v>
      </c>
      <c r="AO104" s="18">
        <f t="shared" si="232"/>
        <v>0</v>
      </c>
      <c r="AP104" s="18">
        <f t="shared" si="232"/>
        <v>33.519418707881762</v>
      </c>
      <c r="AQ104" s="18">
        <f t="shared" si="232"/>
        <v>69.716249326887294</v>
      </c>
      <c r="AR104" s="18">
        <f t="shared" si="232"/>
        <v>88.739452069044631</v>
      </c>
      <c r="AS104" s="18">
        <f t="shared" si="232"/>
        <v>103.32943618207109</v>
      </c>
      <c r="AT104" s="18">
        <f t="shared" si="232"/>
        <v>103.50160752007206</v>
      </c>
      <c r="AU104" s="18">
        <f t="shared" si="232"/>
        <v>86.777041802421891</v>
      </c>
      <c r="AV104" s="18">
        <f t="shared" si="232"/>
        <v>75.868706658742937</v>
      </c>
      <c r="AW104" s="18">
        <f t="shared" si="232"/>
        <v>62.821491096148314</v>
      </c>
      <c r="AX104" s="18">
        <f t="shared" si="232"/>
        <v>51.746081444254919</v>
      </c>
      <c r="AY104" s="18">
        <f t="shared" si="232"/>
        <v>19.634297528057846</v>
      </c>
      <c r="AZ104" s="18">
        <f t="shared" si="232"/>
        <v>0</v>
      </c>
      <c r="BA104" s="18">
        <f t="shared" si="232"/>
        <v>0</v>
      </c>
      <c r="BB104" s="18">
        <f t="shared" si="232"/>
        <v>0</v>
      </c>
      <c r="BC104" s="18">
        <f t="shared" si="232"/>
        <v>0</v>
      </c>
      <c r="BD104" s="18">
        <f t="shared" si="232"/>
        <v>0</v>
      </c>
      <c r="BE104" s="18">
        <f t="shared" si="232"/>
        <v>0</v>
      </c>
      <c r="BF104" s="18">
        <v>31</v>
      </c>
      <c r="BG104" s="18">
        <f t="shared" si="221"/>
        <v>15403.762323145045</v>
      </c>
      <c r="BH104" s="18">
        <f t="shared" si="222"/>
        <v>6161.5049292580188</v>
      </c>
      <c r="BI104" s="18">
        <f t="shared" si="218"/>
        <v>21565.267252403064</v>
      </c>
      <c r="BK104" s="18" t="s">
        <v>9</v>
      </c>
      <c r="BL104" s="17">
        <v>10</v>
      </c>
      <c r="BM104" s="18">
        <f>IF(BM40='Summary Sheet'!$U$21,Working!BM24,0)</f>
        <v>0</v>
      </c>
      <c r="BN104" s="18">
        <f>IF(BN40='Summary Sheet'!$U$21,Working!BN24,0)</f>
        <v>0</v>
      </c>
      <c r="BO104" s="18">
        <f>IF(BO40='Summary Sheet'!$U$21,Working!BO24,0)</f>
        <v>0</v>
      </c>
      <c r="BP104" s="18">
        <f>IF(BP40='Summary Sheet'!$U$21,Working!BP24,0)</f>
        <v>0</v>
      </c>
      <c r="BQ104" s="18">
        <f>IF(BQ40='Summary Sheet'!$U$21,Working!BQ24,0)</f>
        <v>0</v>
      </c>
      <c r="BR104" s="18">
        <f>IF(BR40='Summary Sheet'!$U$21,Working!BR24,0)</f>
        <v>0</v>
      </c>
      <c r="BS104" s="18">
        <f>IF(BS40='Summary Sheet'!$U$21,Working!BS24,0)</f>
        <v>0</v>
      </c>
      <c r="BT104" s="18">
        <f>IF(BT40='Summary Sheet'!$U$21,Working!BT24,0)</f>
        <v>0</v>
      </c>
      <c r="BU104" s="18">
        <f>IF(BU40='Summary Sheet'!$U$21,Working!BU24,0)</f>
        <v>0</v>
      </c>
      <c r="BV104" s="18">
        <f>IF(BV40='Summary Sheet'!$U$21,Working!BV24,0)</f>
        <v>0</v>
      </c>
      <c r="BW104" s="18">
        <f>IF(BW40='Summary Sheet'!$U$21,Working!BW24,0)</f>
        <v>0</v>
      </c>
      <c r="BX104" s="18">
        <f>IF(BX40='Summary Sheet'!$U$21,Working!BX24,0)</f>
        <v>0</v>
      </c>
      <c r="BY104" s="18">
        <f>IF(BY40='Summary Sheet'!$U$21,Working!BY24,0)</f>
        <v>0</v>
      </c>
      <c r="BZ104" s="18">
        <f>IF(BZ40='Summary Sheet'!$U$21,Working!BZ24,0)</f>
        <v>0</v>
      </c>
      <c r="CA104" s="18">
        <f>IF(CA40='Summary Sheet'!$U$21,Working!CA24,0)</f>
        <v>0</v>
      </c>
      <c r="CB104" s="18">
        <f>IF(CB40='Summary Sheet'!$U$21,Working!CB24,0)</f>
        <v>0</v>
      </c>
      <c r="CC104" s="18">
        <f>IF(CC40='Summary Sheet'!$U$21,Working!CC24,0)</f>
        <v>0</v>
      </c>
      <c r="CD104" s="18">
        <f>IF(CD40='Summary Sheet'!$U$21,Working!CD24,0)</f>
        <v>0</v>
      </c>
      <c r="CE104" s="18">
        <f>IF(CE40='Summary Sheet'!$U$21,Working!CE24,0)</f>
        <v>0</v>
      </c>
      <c r="CF104" s="18">
        <f>IF(CF40='Summary Sheet'!$U$21,Working!CF24,0)</f>
        <v>0</v>
      </c>
      <c r="CG104" s="18">
        <f>IF(CG40='Summary Sheet'!$U$21,Working!CG24,0)</f>
        <v>0</v>
      </c>
      <c r="CH104" s="18">
        <f>IF(CH40='Summary Sheet'!$U$21,Working!CH24,0)</f>
        <v>0</v>
      </c>
      <c r="CI104" s="18">
        <f>IF(CI40='Summary Sheet'!$U$21,Working!CI24,0)</f>
        <v>0</v>
      </c>
      <c r="CJ104" s="18">
        <f>IF(CJ40='Summary Sheet'!$U$21,Working!CJ24,0)</f>
        <v>0</v>
      </c>
      <c r="CK104" s="18">
        <v>31</v>
      </c>
      <c r="CL104" s="18">
        <f t="shared" si="223"/>
        <v>0</v>
      </c>
      <c r="CM104" s="18">
        <f t="shared" si="224"/>
        <v>0</v>
      </c>
      <c r="CN104" s="18">
        <f t="shared" si="219"/>
        <v>0</v>
      </c>
    </row>
    <row r="105" spans="2:92" x14ac:dyDescent="0.25">
      <c r="C105" s="71">
        <v>915.56437332160328</v>
      </c>
      <c r="D105" s="71">
        <v>915.56437332160328</v>
      </c>
      <c r="E105" s="71">
        <v>915.56437332160328</v>
      </c>
      <c r="F105" s="71">
        <v>915.56437332160328</v>
      </c>
      <c r="G105" s="71">
        <v>865.71367599587768</v>
      </c>
      <c r="H105" s="71">
        <v>35.094895426879383</v>
      </c>
      <c r="I105" s="71">
        <v>0</v>
      </c>
      <c r="J105" s="71">
        <v>0</v>
      </c>
      <c r="K105" s="71">
        <v>0</v>
      </c>
      <c r="L105" s="71">
        <v>0</v>
      </c>
      <c r="M105" s="71">
        <v>0</v>
      </c>
      <c r="N105" s="71">
        <v>0</v>
      </c>
      <c r="O105" s="71">
        <v>0</v>
      </c>
      <c r="P105" s="71">
        <v>0</v>
      </c>
      <c r="Q105" s="71">
        <v>0</v>
      </c>
      <c r="R105" s="71">
        <v>0</v>
      </c>
      <c r="S105" s="71">
        <v>0</v>
      </c>
      <c r="T105" s="71">
        <v>0</v>
      </c>
      <c r="U105" s="71">
        <v>10.680914915442722</v>
      </c>
      <c r="V105" s="71">
        <v>756.35283880145437</v>
      </c>
      <c r="W105" s="71">
        <v>915.56437332160328</v>
      </c>
      <c r="X105" s="71">
        <v>915.56437332160328</v>
      </c>
      <c r="Y105" s="71">
        <v>915.56437332160328</v>
      </c>
      <c r="Z105" s="71">
        <v>915.56437332160328</v>
      </c>
      <c r="AF105" s="18" t="s">
        <v>10</v>
      </c>
      <c r="AG105" s="17">
        <v>11</v>
      </c>
      <c r="AH105" s="18">
        <f t="shared" ref="AH105:BE105" si="233">AH57*AH89</f>
        <v>0</v>
      </c>
      <c r="AI105" s="18">
        <f t="shared" si="233"/>
        <v>0</v>
      </c>
      <c r="AJ105" s="18">
        <f t="shared" si="233"/>
        <v>0</v>
      </c>
      <c r="AK105" s="18">
        <f t="shared" si="233"/>
        <v>0</v>
      </c>
      <c r="AL105" s="18">
        <f t="shared" si="233"/>
        <v>0</v>
      </c>
      <c r="AM105" s="18">
        <f t="shared" si="233"/>
        <v>0</v>
      </c>
      <c r="AN105" s="18">
        <f t="shared" si="233"/>
        <v>0</v>
      </c>
      <c r="AO105" s="18">
        <f t="shared" si="233"/>
        <v>5.5531323105460411</v>
      </c>
      <c r="AP105" s="18">
        <f t="shared" si="233"/>
        <v>45.874556613845527</v>
      </c>
      <c r="AQ105" s="18">
        <f t="shared" si="233"/>
        <v>87.51899517690002</v>
      </c>
      <c r="AR105" s="18">
        <f t="shared" si="233"/>
        <v>122.25862283564484</v>
      </c>
      <c r="AS105" s="18">
        <f t="shared" si="233"/>
        <v>153.32610944150557</v>
      </c>
      <c r="AT105" s="18">
        <f t="shared" si="233"/>
        <v>166.72717466284547</v>
      </c>
      <c r="AU105" s="18">
        <f t="shared" si="233"/>
        <v>167.79998754426848</v>
      </c>
      <c r="AV105" s="18">
        <f t="shared" si="233"/>
        <v>120.37910604933424</v>
      </c>
      <c r="AW105" s="18">
        <f t="shared" si="233"/>
        <v>103.33336955541405</v>
      </c>
      <c r="AX105" s="18">
        <f t="shared" si="233"/>
        <v>70.31746347850067</v>
      </c>
      <c r="AY105" s="18">
        <f t="shared" si="233"/>
        <v>32.19025098380699</v>
      </c>
      <c r="AZ105" s="18">
        <f t="shared" si="233"/>
        <v>0</v>
      </c>
      <c r="BA105" s="18">
        <f t="shared" si="233"/>
        <v>0</v>
      </c>
      <c r="BB105" s="18">
        <f t="shared" si="233"/>
        <v>0</v>
      </c>
      <c r="BC105" s="18">
        <f t="shared" si="233"/>
        <v>0</v>
      </c>
      <c r="BD105" s="18">
        <f t="shared" si="233"/>
        <v>0</v>
      </c>
      <c r="BE105" s="18">
        <f t="shared" si="233"/>
        <v>0</v>
      </c>
      <c r="BF105" s="18">
        <v>30</v>
      </c>
      <c r="BG105" s="18">
        <f t="shared" si="221"/>
        <v>23041.687899698823</v>
      </c>
      <c r="BH105" s="18">
        <f t="shared" si="222"/>
        <v>9216.6751598795272</v>
      </c>
      <c r="BI105" s="18">
        <f t="shared" si="218"/>
        <v>32258.363059578351</v>
      </c>
      <c r="BK105" s="18" t="s">
        <v>10</v>
      </c>
      <c r="BL105" s="17">
        <v>11</v>
      </c>
      <c r="BM105" s="18">
        <f>IF(BM41='Summary Sheet'!$U$21,Working!BM25,0)</f>
        <v>0</v>
      </c>
      <c r="BN105" s="18">
        <f>IF(BN41='Summary Sheet'!$U$21,Working!BN25,0)</f>
        <v>0</v>
      </c>
      <c r="BO105" s="18">
        <f>IF(BO41='Summary Sheet'!$U$21,Working!BO25,0)</f>
        <v>0</v>
      </c>
      <c r="BP105" s="18">
        <f>IF(BP41='Summary Sheet'!$U$21,Working!BP25,0)</f>
        <v>0</v>
      </c>
      <c r="BQ105" s="18">
        <f>IF(BQ41='Summary Sheet'!$U$21,Working!BQ25,0)</f>
        <v>0</v>
      </c>
      <c r="BR105" s="18">
        <f>IF(BR41='Summary Sheet'!$U$21,Working!BR25,0)</f>
        <v>0</v>
      </c>
      <c r="BS105" s="18">
        <f>IF(BS41='Summary Sheet'!$U$21,Working!BS25,0)</f>
        <v>0</v>
      </c>
      <c r="BT105" s="18">
        <f>IF(BT41='Summary Sheet'!$U$21,Working!BT25,0)</f>
        <v>0</v>
      </c>
      <c r="BU105" s="18">
        <f>IF(BU41='Summary Sheet'!$U$21,Working!BU25,0)</f>
        <v>0</v>
      </c>
      <c r="BV105" s="18">
        <f>IF(BV41='Summary Sheet'!$U$21,Working!BV25,0)</f>
        <v>0</v>
      </c>
      <c r="BW105" s="18">
        <f>IF(BW41='Summary Sheet'!$U$21,Working!BW25,0)</f>
        <v>0</v>
      </c>
      <c r="BX105" s="18">
        <f>IF(BX41='Summary Sheet'!$U$21,Working!BX25,0)</f>
        <v>0</v>
      </c>
      <c r="BY105" s="18">
        <f>IF(BY41='Summary Sheet'!$U$21,Working!BY25,0)</f>
        <v>0</v>
      </c>
      <c r="BZ105" s="18">
        <f>IF(BZ41='Summary Sheet'!$U$21,Working!BZ25,0)</f>
        <v>0</v>
      </c>
      <c r="CA105" s="18">
        <f>IF(CA41='Summary Sheet'!$U$21,Working!CA25,0)</f>
        <v>0</v>
      </c>
      <c r="CB105" s="18">
        <f>IF(CB41='Summary Sheet'!$U$21,Working!CB25,0)</f>
        <v>0</v>
      </c>
      <c r="CC105" s="18">
        <f>IF(CC41='Summary Sheet'!$U$21,Working!CC25,0)</f>
        <v>0</v>
      </c>
      <c r="CD105" s="18">
        <f>IF(CD41='Summary Sheet'!$U$21,Working!CD25,0)</f>
        <v>0</v>
      </c>
      <c r="CE105" s="18">
        <f>IF(CE41='Summary Sheet'!$U$21,Working!CE25,0)</f>
        <v>0</v>
      </c>
      <c r="CF105" s="18">
        <f>IF(CF41='Summary Sheet'!$U$21,Working!CF25,0)</f>
        <v>0</v>
      </c>
      <c r="CG105" s="18">
        <f>IF(CG41='Summary Sheet'!$U$21,Working!CG25,0)</f>
        <v>0</v>
      </c>
      <c r="CH105" s="18">
        <f>IF(CH41='Summary Sheet'!$U$21,Working!CH25,0)</f>
        <v>0</v>
      </c>
      <c r="CI105" s="18">
        <f>IF(CI41='Summary Sheet'!$U$21,Working!CI25,0)</f>
        <v>0</v>
      </c>
      <c r="CJ105" s="18">
        <f>IF(CJ41='Summary Sheet'!$U$21,Working!CJ25,0)</f>
        <v>0</v>
      </c>
      <c r="CK105" s="18">
        <v>30</v>
      </c>
      <c r="CL105" s="18">
        <f t="shared" si="223"/>
        <v>0</v>
      </c>
      <c r="CM105" s="18">
        <f t="shared" si="224"/>
        <v>0</v>
      </c>
      <c r="CN105" s="18">
        <f t="shared" si="219"/>
        <v>0</v>
      </c>
    </row>
    <row r="106" spans="2:92" x14ac:dyDescent="0.25">
      <c r="C106" s="71">
        <v>915.64976861056482</v>
      </c>
      <c r="D106" s="71">
        <v>915.64976861056482</v>
      </c>
      <c r="E106" s="71">
        <v>915.64976861056482</v>
      </c>
      <c r="F106" s="71">
        <v>915.64976861056482</v>
      </c>
      <c r="G106" s="71">
        <v>801.45676138838019</v>
      </c>
      <c r="H106" s="71">
        <v>0</v>
      </c>
      <c r="I106" s="71">
        <v>0</v>
      </c>
      <c r="J106" s="71">
        <v>0</v>
      </c>
      <c r="K106" s="71">
        <v>0</v>
      </c>
      <c r="L106" s="71">
        <v>0</v>
      </c>
      <c r="M106" s="71">
        <v>0</v>
      </c>
      <c r="N106" s="71">
        <v>0</v>
      </c>
      <c r="O106" s="71">
        <v>0</v>
      </c>
      <c r="P106" s="71">
        <v>0</v>
      </c>
      <c r="Q106" s="71">
        <v>0</v>
      </c>
      <c r="R106" s="71">
        <v>0</v>
      </c>
      <c r="S106" s="71">
        <v>0</v>
      </c>
      <c r="T106" s="71">
        <v>0</v>
      </c>
      <c r="U106" s="71">
        <v>0</v>
      </c>
      <c r="V106" s="71">
        <v>344.57854920973409</v>
      </c>
      <c r="W106" s="71">
        <v>915.64976861056482</v>
      </c>
      <c r="X106" s="71">
        <v>915.64976861056482</v>
      </c>
      <c r="Y106" s="71">
        <v>915.64976861056482</v>
      </c>
      <c r="Z106" s="71">
        <v>915.64976861056482</v>
      </c>
      <c r="AF106" s="18" t="s">
        <v>11</v>
      </c>
      <c r="AG106" s="17">
        <v>12</v>
      </c>
      <c r="AH106" s="18">
        <f t="shared" ref="AH106:BE106" si="234">AH58*AH90</f>
        <v>0</v>
      </c>
      <c r="AI106" s="18">
        <f t="shared" si="234"/>
        <v>0</v>
      </c>
      <c r="AJ106" s="18">
        <f t="shared" si="234"/>
        <v>0</v>
      </c>
      <c r="AK106" s="18">
        <f t="shared" si="234"/>
        <v>0</v>
      </c>
      <c r="AL106" s="18">
        <f t="shared" si="234"/>
        <v>0</v>
      </c>
      <c r="AM106" s="18">
        <f t="shared" si="234"/>
        <v>0</v>
      </c>
      <c r="AN106" s="18">
        <f t="shared" si="234"/>
        <v>0</v>
      </c>
      <c r="AO106" s="18">
        <f t="shared" si="234"/>
        <v>2.489776291416526</v>
      </c>
      <c r="AP106" s="18">
        <f t="shared" si="234"/>
        <v>32.454958601301335</v>
      </c>
      <c r="AQ106" s="18">
        <f t="shared" si="234"/>
        <v>67.471342495119004</v>
      </c>
      <c r="AR106" s="18">
        <f t="shared" si="234"/>
        <v>96.598778923535761</v>
      </c>
      <c r="AS106" s="18">
        <f t="shared" si="234"/>
        <v>124.51968509569686</v>
      </c>
      <c r="AT106" s="18">
        <f t="shared" si="234"/>
        <v>140.17721036470422</v>
      </c>
      <c r="AU106" s="18">
        <f t="shared" si="234"/>
        <v>148.42681616301056</v>
      </c>
      <c r="AV106" s="18">
        <f t="shared" si="234"/>
        <v>122.58624223539206</v>
      </c>
      <c r="AW106" s="18">
        <f t="shared" si="234"/>
        <v>106.12335775303679</v>
      </c>
      <c r="AX106" s="18">
        <f t="shared" si="234"/>
        <v>79.7815430568957</v>
      </c>
      <c r="AY106" s="18">
        <f t="shared" si="234"/>
        <v>40.074362603484417</v>
      </c>
      <c r="AZ106" s="18">
        <f t="shared" si="234"/>
        <v>7.8867692619417382E-2</v>
      </c>
      <c r="BA106" s="18">
        <f t="shared" si="234"/>
        <v>0</v>
      </c>
      <c r="BB106" s="18">
        <f t="shared" si="234"/>
        <v>0</v>
      </c>
      <c r="BC106" s="18">
        <f t="shared" si="234"/>
        <v>0</v>
      </c>
      <c r="BD106" s="18">
        <f t="shared" si="234"/>
        <v>0</v>
      </c>
      <c r="BE106" s="18">
        <f t="shared" si="234"/>
        <v>0</v>
      </c>
      <c r="BF106" s="18">
        <v>31</v>
      </c>
      <c r="BG106" s="18">
        <f t="shared" si="221"/>
        <v>21274.479413973284</v>
      </c>
      <c r="BH106" s="18">
        <f t="shared" si="222"/>
        <v>8509.7917655893107</v>
      </c>
      <c r="BI106" s="18">
        <f t="shared" si="218"/>
        <v>29784.271179562595</v>
      </c>
      <c r="BK106" s="18" t="s">
        <v>11</v>
      </c>
      <c r="BL106" s="17">
        <v>12</v>
      </c>
      <c r="BM106" s="18">
        <f>IF(BM42='Summary Sheet'!$U$21,Working!BM26,0)</f>
        <v>0</v>
      </c>
      <c r="BN106" s="18">
        <f>IF(BN42='Summary Sheet'!$U$21,Working!BN26,0)</f>
        <v>0</v>
      </c>
      <c r="BO106" s="18">
        <f>IF(BO42='Summary Sheet'!$U$21,Working!BO26,0)</f>
        <v>0</v>
      </c>
      <c r="BP106" s="18">
        <f>IF(BP42='Summary Sheet'!$U$21,Working!BP26,0)</f>
        <v>0</v>
      </c>
      <c r="BQ106" s="18">
        <f>IF(BQ42='Summary Sheet'!$U$21,Working!BQ26,0)</f>
        <v>0</v>
      </c>
      <c r="BR106" s="18">
        <f>IF(BR42='Summary Sheet'!$U$21,Working!BR26,0)</f>
        <v>0</v>
      </c>
      <c r="BS106" s="18">
        <f>IF(BS42='Summary Sheet'!$U$21,Working!BS26,0)</f>
        <v>0</v>
      </c>
      <c r="BT106" s="18">
        <f>IF(BT42='Summary Sheet'!$U$21,Working!BT26,0)</f>
        <v>0</v>
      </c>
      <c r="BU106" s="18">
        <f>IF(BU42='Summary Sheet'!$U$21,Working!BU26,0)</f>
        <v>0</v>
      </c>
      <c r="BV106" s="18">
        <f>IF(BV42='Summary Sheet'!$U$21,Working!BV26,0)</f>
        <v>0</v>
      </c>
      <c r="BW106" s="18">
        <f>IF(BW42='Summary Sheet'!$U$21,Working!BW26,0)</f>
        <v>0</v>
      </c>
      <c r="BX106" s="18">
        <f>IF(BX42='Summary Sheet'!$U$21,Working!BX26,0)</f>
        <v>0</v>
      </c>
      <c r="BY106" s="18">
        <f>IF(BY42='Summary Sheet'!$U$21,Working!BY26,0)</f>
        <v>0</v>
      </c>
      <c r="BZ106" s="18">
        <f>IF(BZ42='Summary Sheet'!$U$21,Working!BZ26,0)</f>
        <v>0</v>
      </c>
      <c r="CA106" s="18">
        <f>IF(CA42='Summary Sheet'!$U$21,Working!CA26,0)</f>
        <v>0</v>
      </c>
      <c r="CB106" s="18">
        <f>IF(CB42='Summary Sheet'!$U$21,Working!CB26,0)</f>
        <v>0</v>
      </c>
      <c r="CC106" s="18">
        <f>IF(CC42='Summary Sheet'!$U$21,Working!CC26,0)</f>
        <v>0</v>
      </c>
      <c r="CD106" s="18">
        <f>IF(CD42='Summary Sheet'!$U$21,Working!CD26,0)</f>
        <v>0</v>
      </c>
      <c r="CE106" s="18">
        <f>IF(CE42='Summary Sheet'!$U$21,Working!CE26,0)</f>
        <v>0</v>
      </c>
      <c r="CF106" s="18">
        <f>IF(CF42='Summary Sheet'!$U$21,Working!CF26,0)</f>
        <v>0</v>
      </c>
      <c r="CG106" s="18">
        <f>IF(CG42='Summary Sheet'!$U$21,Working!CG26,0)</f>
        <v>0</v>
      </c>
      <c r="CH106" s="18">
        <f>IF(CH42='Summary Sheet'!$U$21,Working!CH26,0)</f>
        <v>0</v>
      </c>
      <c r="CI106" s="18">
        <f>IF(CI42='Summary Sheet'!$U$21,Working!CI26,0)</f>
        <v>0</v>
      </c>
      <c r="CJ106" s="18">
        <f>IF(CJ42='Summary Sheet'!$U$21,Working!CJ26,0)</f>
        <v>0</v>
      </c>
      <c r="CK106" s="18">
        <v>31</v>
      </c>
      <c r="CL106" s="18">
        <f t="shared" si="223"/>
        <v>0</v>
      </c>
      <c r="CM106" s="18">
        <f t="shared" si="224"/>
        <v>0</v>
      </c>
      <c r="CN106" s="18">
        <f t="shared" si="219"/>
        <v>0</v>
      </c>
    </row>
    <row r="107" spans="2:92" x14ac:dyDescent="0.25">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G107" s="20">
        <f>SUM(BG95:BG106)</f>
        <v>364205.19603026181</v>
      </c>
      <c r="BH107" s="20">
        <f>SUM(BH95:BH106)</f>
        <v>145682.07841210469</v>
      </c>
      <c r="BI107" s="20">
        <f>SUM(BI95:BI106)</f>
        <v>509887.27444236638</v>
      </c>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L107" s="20">
        <f>SUM(CL95:CL106)</f>
        <v>0</v>
      </c>
      <c r="CM107" s="20">
        <f>SUM(CM95:CM106)</f>
        <v>0</v>
      </c>
      <c r="CN107" s="20">
        <f>SUM(CN95:CN106)</f>
        <v>0</v>
      </c>
    </row>
    <row r="108" spans="2:92" x14ac:dyDescent="0.25">
      <c r="B108" s="3" t="s">
        <v>192</v>
      </c>
      <c r="C108" s="3">
        <v>69.223329142990679</v>
      </c>
      <c r="D108" s="3">
        <v>69.428385816096281</v>
      </c>
      <c r="E108" s="3">
        <v>50.644771931773604</v>
      </c>
      <c r="F108" s="3">
        <v>36.933240101069053</v>
      </c>
      <c r="G108" s="3">
        <v>37.542502312305579</v>
      </c>
      <c r="H108" s="3">
        <v>34.311460560009181</v>
      </c>
      <c r="I108" s="3">
        <v>35.025652880023593</v>
      </c>
      <c r="J108" s="3">
        <v>37.273024425793793</v>
      </c>
      <c r="K108" s="3">
        <v>40.113008903355173</v>
      </c>
      <c r="L108" s="3">
        <v>45.145071451697021</v>
      </c>
      <c r="M108" s="3">
        <v>51.134475056888157</v>
      </c>
      <c r="N108" s="3">
        <v>53.034237067917879</v>
      </c>
      <c r="O108" s="3">
        <v>53.736530950828957</v>
      </c>
      <c r="P108" s="3">
        <v>54.502432908840902</v>
      </c>
      <c r="Q108" s="3">
        <v>53.44387106364524</v>
      </c>
      <c r="R108" s="3">
        <v>58.287651701766166</v>
      </c>
      <c r="S108" s="3">
        <v>62.099480730081616</v>
      </c>
      <c r="T108" s="3">
        <v>59.019921313065979</v>
      </c>
      <c r="U108" s="3">
        <v>61.247205305061037</v>
      </c>
      <c r="V108" s="3">
        <v>100.70153621143562</v>
      </c>
      <c r="W108" s="3">
        <v>107.41996941836734</v>
      </c>
      <c r="X108" s="3">
        <v>83.076038525598165</v>
      </c>
      <c r="Y108" s="3">
        <v>73.581771008409447</v>
      </c>
      <c r="Z108" s="3">
        <v>69.946596499313358</v>
      </c>
    </row>
    <row r="109" spans="2:92" x14ac:dyDescent="0.25">
      <c r="C109" s="3">
        <v>78.807904961092149</v>
      </c>
      <c r="D109" s="3">
        <v>78.752708378548036</v>
      </c>
      <c r="E109" s="3">
        <v>75.298969436770093</v>
      </c>
      <c r="F109" s="3">
        <v>77.830065479460444</v>
      </c>
      <c r="G109" s="3">
        <v>56.138305929157866</v>
      </c>
      <c r="H109" s="3">
        <v>48.975101014797538</v>
      </c>
      <c r="I109" s="3">
        <v>45.990412155647995</v>
      </c>
      <c r="J109" s="3">
        <v>58.954832072684731</v>
      </c>
      <c r="K109" s="3">
        <v>67.329616561078751</v>
      </c>
      <c r="L109" s="3">
        <v>67.293683905568955</v>
      </c>
      <c r="M109" s="3">
        <v>73.167444972107006</v>
      </c>
      <c r="N109" s="3">
        <v>76.553886595903464</v>
      </c>
      <c r="O109" s="3">
        <v>80.136521297630878</v>
      </c>
      <c r="P109" s="3">
        <v>84.270429956673112</v>
      </c>
      <c r="Q109" s="3">
        <v>85.587823587472684</v>
      </c>
      <c r="R109" s="3">
        <v>104.60323380869964</v>
      </c>
      <c r="S109" s="3">
        <v>130.77660019840673</v>
      </c>
      <c r="T109" s="3">
        <v>121.16245862694794</v>
      </c>
      <c r="U109" s="3">
        <v>150.94259172521043</v>
      </c>
      <c r="V109" s="3">
        <v>335.94885198263444</v>
      </c>
      <c r="W109" s="3">
        <v>227.47958174227125</v>
      </c>
      <c r="X109" s="3">
        <v>161.8199695332849</v>
      </c>
      <c r="Y109" s="3">
        <v>75.584388422322405</v>
      </c>
      <c r="Z109" s="3">
        <v>84.87610581850636</v>
      </c>
      <c r="BK109" s="12" t="s">
        <v>92</v>
      </c>
      <c r="BL109" s="13"/>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5"/>
      <c r="CK109" s="15" t="s">
        <v>15</v>
      </c>
      <c r="CL109" s="15" t="s">
        <v>35</v>
      </c>
      <c r="CM109" s="15" t="s">
        <v>36</v>
      </c>
      <c r="CN109" s="15" t="s">
        <v>93</v>
      </c>
    </row>
    <row r="110" spans="2:92" x14ac:dyDescent="0.25">
      <c r="C110" s="3">
        <v>77.601209064523815</v>
      </c>
      <c r="D110" s="3">
        <v>73.235202995579471</v>
      </c>
      <c r="E110" s="3">
        <v>71.788397236832282</v>
      </c>
      <c r="F110" s="3">
        <v>71.410468146270091</v>
      </c>
      <c r="G110" s="3">
        <v>59.420324670211052</v>
      </c>
      <c r="H110" s="3">
        <v>59.630611536142538</v>
      </c>
      <c r="I110" s="3">
        <v>63.665584568460503</v>
      </c>
      <c r="J110" s="3">
        <v>79.415305342633928</v>
      </c>
      <c r="K110" s="3">
        <v>94.425807175516752</v>
      </c>
      <c r="L110" s="3">
        <v>90.866483006057877</v>
      </c>
      <c r="M110" s="3">
        <v>114.4154221320629</v>
      </c>
      <c r="N110" s="3">
        <v>129.25022814669407</v>
      </c>
      <c r="O110" s="3">
        <v>142.89134813496941</v>
      </c>
      <c r="P110" s="3">
        <v>116.56892878863016</v>
      </c>
      <c r="Q110" s="3">
        <v>112.48258994574763</v>
      </c>
      <c r="R110" s="3">
        <v>116.59196522663967</v>
      </c>
      <c r="S110" s="3">
        <v>163.60119874266115</v>
      </c>
      <c r="T110" s="3">
        <v>175.94080641367643</v>
      </c>
      <c r="U110" s="3">
        <v>327.81523599798987</v>
      </c>
      <c r="V110" s="3">
        <v>404.32312652775261</v>
      </c>
      <c r="W110" s="3">
        <v>201.7431403373597</v>
      </c>
      <c r="X110" s="3">
        <v>108.78797595324298</v>
      </c>
      <c r="Y110" s="3">
        <v>78.43209440736851</v>
      </c>
      <c r="Z110" s="3">
        <v>80.197419892103952</v>
      </c>
      <c r="BK110" s="16"/>
      <c r="BL110" s="3" t="s">
        <v>12</v>
      </c>
      <c r="BM110" s="16">
        <v>0</v>
      </c>
      <c r="BN110" s="16">
        <v>1</v>
      </c>
      <c r="BO110" s="16">
        <v>2</v>
      </c>
      <c r="BP110" s="16">
        <v>3</v>
      </c>
      <c r="BQ110" s="16">
        <v>4</v>
      </c>
      <c r="BR110" s="16">
        <v>5</v>
      </c>
      <c r="BS110" s="16">
        <v>6</v>
      </c>
      <c r="BT110" s="16">
        <v>7</v>
      </c>
      <c r="BU110" s="16">
        <v>8</v>
      </c>
      <c r="BV110" s="16">
        <v>9</v>
      </c>
      <c r="BW110" s="16">
        <v>10</v>
      </c>
      <c r="BX110" s="16">
        <v>11</v>
      </c>
      <c r="BY110" s="16">
        <v>12</v>
      </c>
      <c r="BZ110" s="16">
        <v>13</v>
      </c>
      <c r="CA110" s="16">
        <v>14</v>
      </c>
      <c r="CB110" s="16">
        <v>15</v>
      </c>
      <c r="CC110" s="16">
        <v>16</v>
      </c>
      <c r="CD110" s="16">
        <v>17</v>
      </c>
      <c r="CE110" s="16">
        <v>18</v>
      </c>
      <c r="CF110" s="16">
        <v>19</v>
      </c>
      <c r="CG110" s="16">
        <v>20</v>
      </c>
      <c r="CH110" s="16">
        <v>21</v>
      </c>
      <c r="CI110" s="16">
        <v>22</v>
      </c>
      <c r="CJ110" s="16">
        <v>23</v>
      </c>
      <c r="CK110" s="16"/>
      <c r="CL110" s="16"/>
      <c r="CM110" s="16"/>
      <c r="CN110" s="16"/>
    </row>
    <row r="111" spans="2:92" x14ac:dyDescent="0.25">
      <c r="C111" s="3">
        <v>46.576912266518022</v>
      </c>
      <c r="D111" s="3">
        <v>47.06123511714862</v>
      </c>
      <c r="E111" s="3">
        <v>47.885493708875288</v>
      </c>
      <c r="F111" s="3">
        <v>45.028586397034395</v>
      </c>
      <c r="G111" s="3">
        <v>49.266629181479836</v>
      </c>
      <c r="H111" s="3">
        <v>56.828568206749225</v>
      </c>
      <c r="I111" s="3">
        <v>51.421432259992876</v>
      </c>
      <c r="J111" s="3">
        <v>61.327177390332345</v>
      </c>
      <c r="K111" s="3">
        <v>62.469203805129744</v>
      </c>
      <c r="L111" s="3">
        <v>74.774255230110867</v>
      </c>
      <c r="M111" s="3">
        <v>85.938346105336777</v>
      </c>
      <c r="N111" s="3">
        <v>69.453949680608531</v>
      </c>
      <c r="O111" s="3">
        <v>77.683109848049241</v>
      </c>
      <c r="P111" s="3">
        <v>92.54314869694808</v>
      </c>
      <c r="Q111" s="3">
        <v>89.18642588767645</v>
      </c>
      <c r="R111" s="3">
        <v>94.993756554102731</v>
      </c>
      <c r="S111" s="3">
        <v>114.0475671845066</v>
      </c>
      <c r="T111" s="3">
        <v>119.35934581367108</v>
      </c>
      <c r="U111" s="3">
        <v>119.65131762786679</v>
      </c>
      <c r="V111" s="3">
        <v>115.0099577360003</v>
      </c>
      <c r="W111" s="3">
        <v>95.761449091215582</v>
      </c>
      <c r="X111" s="3">
        <v>84.341830686826043</v>
      </c>
      <c r="Y111" s="3">
        <v>72.218826936204906</v>
      </c>
      <c r="Z111" s="3">
        <v>53.732261381864106</v>
      </c>
      <c r="BH111" s="3">
        <f>BI107/BI59</f>
        <v>6.7006446848358464E-2</v>
      </c>
      <c r="BK111" s="18" t="s">
        <v>0</v>
      </c>
      <c r="BL111" s="17">
        <v>1</v>
      </c>
      <c r="BM111" s="18">
        <f>BM95*AH79</f>
        <v>0</v>
      </c>
      <c r="BN111" s="18">
        <f t="shared" ref="BN111:CJ111" si="235">BN95*AI79</f>
        <v>0</v>
      </c>
      <c r="BO111" s="18">
        <f t="shared" si="235"/>
        <v>0</v>
      </c>
      <c r="BP111" s="18">
        <f t="shared" si="235"/>
        <v>0</v>
      </c>
      <c r="BQ111" s="18">
        <f t="shared" si="235"/>
        <v>0</v>
      </c>
      <c r="BR111" s="18">
        <f t="shared" si="235"/>
        <v>0</v>
      </c>
      <c r="BS111" s="18">
        <f t="shared" si="235"/>
        <v>0</v>
      </c>
      <c r="BT111" s="18">
        <f t="shared" si="235"/>
        <v>0</v>
      </c>
      <c r="BU111" s="18">
        <f t="shared" si="235"/>
        <v>0</v>
      </c>
      <c r="BV111" s="18">
        <f t="shared" si="235"/>
        <v>0</v>
      </c>
      <c r="BW111" s="18">
        <f t="shared" si="235"/>
        <v>0</v>
      </c>
      <c r="BX111" s="18">
        <f t="shared" si="235"/>
        <v>0</v>
      </c>
      <c r="BY111" s="18">
        <f t="shared" si="235"/>
        <v>0</v>
      </c>
      <c r="BZ111" s="18">
        <f t="shared" si="235"/>
        <v>0</v>
      </c>
      <c r="CA111" s="18">
        <f t="shared" si="235"/>
        <v>0</v>
      </c>
      <c r="CB111" s="18">
        <f t="shared" si="235"/>
        <v>0</v>
      </c>
      <c r="CC111" s="18">
        <f t="shared" si="235"/>
        <v>0</v>
      </c>
      <c r="CD111" s="18">
        <f t="shared" si="235"/>
        <v>0</v>
      </c>
      <c r="CE111" s="18">
        <f t="shared" si="235"/>
        <v>0</v>
      </c>
      <c r="CF111" s="18">
        <f t="shared" si="235"/>
        <v>0</v>
      </c>
      <c r="CG111" s="18">
        <f t="shared" si="235"/>
        <v>0</v>
      </c>
      <c r="CH111" s="18">
        <f t="shared" si="235"/>
        <v>0</v>
      </c>
      <c r="CI111" s="18">
        <f t="shared" si="235"/>
        <v>0</v>
      </c>
      <c r="CJ111" s="18">
        <f t="shared" si="235"/>
        <v>0</v>
      </c>
      <c r="CK111" s="18">
        <v>31</v>
      </c>
      <c r="CL111" s="18">
        <f>SUM(BT111:CI111)*CK111*5/7</f>
        <v>0</v>
      </c>
      <c r="CM111" s="18">
        <f>CN111-CL111</f>
        <v>0</v>
      </c>
      <c r="CN111" s="18">
        <f t="shared" ref="CN111:CN122" si="236">CK111*(SUM(BM111:CJ111))</f>
        <v>0</v>
      </c>
    </row>
    <row r="112" spans="2:92" x14ac:dyDescent="0.25">
      <c r="C112" s="3">
        <v>62.347277409092712</v>
      </c>
      <c r="D112" s="3">
        <v>54.004061316570677</v>
      </c>
      <c r="E112" s="3">
        <v>50.309748489002423</v>
      </c>
      <c r="F112" s="3">
        <v>50.602824984950317</v>
      </c>
      <c r="G112" s="3">
        <v>50.210319619152187</v>
      </c>
      <c r="H112" s="3">
        <v>51.115679991902198</v>
      </c>
      <c r="I112" s="3">
        <v>52.208707401338387</v>
      </c>
      <c r="J112" s="3">
        <v>60.746800867027574</v>
      </c>
      <c r="K112" s="3">
        <v>67.742160720168783</v>
      </c>
      <c r="L112" s="3">
        <v>72.389553152339758</v>
      </c>
      <c r="M112" s="3">
        <v>72.045454673260281</v>
      </c>
      <c r="N112" s="3">
        <v>76.289745830930485</v>
      </c>
      <c r="O112" s="3">
        <v>76.228544547860452</v>
      </c>
      <c r="P112" s="3">
        <v>80.97935625602652</v>
      </c>
      <c r="Q112" s="3">
        <v>80.364738368524755</v>
      </c>
      <c r="R112" s="3">
        <v>87.940677193302975</v>
      </c>
      <c r="S112" s="3">
        <v>128.82408039457226</v>
      </c>
      <c r="T112" s="3">
        <v>231.87430430472915</v>
      </c>
      <c r="U112" s="3">
        <v>597.81206191928538</v>
      </c>
      <c r="V112" s="3">
        <v>616.2615483200849</v>
      </c>
      <c r="W112" s="3">
        <v>465.28779100789905</v>
      </c>
      <c r="X112" s="3">
        <v>233.39185569372702</v>
      </c>
      <c r="Y112" s="3">
        <v>151.29428730066377</v>
      </c>
      <c r="Z112" s="3">
        <v>76.69516103690782</v>
      </c>
      <c r="BK112" s="18" t="s">
        <v>1</v>
      </c>
      <c r="BL112" s="17">
        <v>2</v>
      </c>
      <c r="BM112" s="18">
        <f t="shared" ref="BM112:BM122" si="237">BM96*AH80</f>
        <v>0</v>
      </c>
      <c r="BN112" s="18">
        <f t="shared" ref="BN112:BN122" si="238">BN96*AI80</f>
        <v>0</v>
      </c>
      <c r="BO112" s="18">
        <f t="shared" ref="BO112:BO122" si="239">BO96*AJ80</f>
        <v>0</v>
      </c>
      <c r="BP112" s="18">
        <f t="shared" ref="BP112:BP122" si="240">BP96*AK80</f>
        <v>0</v>
      </c>
      <c r="BQ112" s="18">
        <f t="shared" ref="BQ112:BQ122" si="241">BQ96*AL80</f>
        <v>0</v>
      </c>
      <c r="BR112" s="18">
        <f t="shared" ref="BR112:BR122" si="242">BR96*AM80</f>
        <v>0</v>
      </c>
      <c r="BS112" s="18">
        <f t="shared" ref="BS112:BS122" si="243">BS96*AN80</f>
        <v>0</v>
      </c>
      <c r="BT112" s="18">
        <f t="shared" ref="BT112:BT122" si="244">BT96*AO80</f>
        <v>0</v>
      </c>
      <c r="BU112" s="18">
        <f t="shared" ref="BU112:BU122" si="245">BU96*AP80</f>
        <v>0</v>
      </c>
      <c r="BV112" s="18">
        <f t="shared" ref="BV112:BV122" si="246">BV96*AQ80</f>
        <v>0</v>
      </c>
      <c r="BW112" s="18">
        <f t="shared" ref="BW112:BW122" si="247">BW96*AR80</f>
        <v>0</v>
      </c>
      <c r="BX112" s="18">
        <f t="shared" ref="BX112:BX122" si="248">BX96*AS80</f>
        <v>0</v>
      </c>
      <c r="BY112" s="18">
        <f t="shared" ref="BY112:BY122" si="249">BY96*AT80</f>
        <v>0</v>
      </c>
      <c r="BZ112" s="18">
        <f t="shared" ref="BZ112:BZ122" si="250">BZ96*AU80</f>
        <v>0</v>
      </c>
      <c r="CA112" s="18">
        <f t="shared" ref="CA112:CA122" si="251">CA96*AV80</f>
        <v>0</v>
      </c>
      <c r="CB112" s="18">
        <f t="shared" ref="CB112:CB122" si="252">CB96*AW80</f>
        <v>0</v>
      </c>
      <c r="CC112" s="18">
        <f t="shared" ref="CC112:CC122" si="253">CC96*AX80</f>
        <v>0</v>
      </c>
      <c r="CD112" s="18">
        <f t="shared" ref="CD112:CD122" si="254">CD96*AY80</f>
        <v>0</v>
      </c>
      <c r="CE112" s="18">
        <f t="shared" ref="CE112:CE122" si="255">CE96*AZ80</f>
        <v>0</v>
      </c>
      <c r="CF112" s="18">
        <f t="shared" ref="CF112:CF122" si="256">CF96*BA80</f>
        <v>0</v>
      </c>
      <c r="CG112" s="18">
        <f t="shared" ref="CG112:CG122" si="257">CG96*BB80</f>
        <v>0</v>
      </c>
      <c r="CH112" s="18">
        <f t="shared" ref="CH112:CH122" si="258">CH96*BC80</f>
        <v>0</v>
      </c>
      <c r="CI112" s="18">
        <f t="shared" ref="CI112:CI122" si="259">CI96*BD80</f>
        <v>0</v>
      </c>
      <c r="CJ112" s="18">
        <f t="shared" ref="CJ112:CJ122" si="260">CJ96*BE80</f>
        <v>0</v>
      </c>
      <c r="CK112" s="18">
        <v>28</v>
      </c>
      <c r="CL112" s="18">
        <f t="shared" ref="CL112:CL122" si="261">SUM(BT112:CI112)*CK112*5/7</f>
        <v>0</v>
      </c>
      <c r="CM112" s="18">
        <f t="shared" ref="CM112:CM122" si="262">CN112-CL112</f>
        <v>0</v>
      </c>
      <c r="CN112" s="18">
        <f t="shared" si="236"/>
        <v>0</v>
      </c>
    </row>
    <row r="113" spans="2:92" x14ac:dyDescent="0.25">
      <c r="C113" s="3">
        <v>85.207787681420385</v>
      </c>
      <c r="D113" s="3">
        <v>73.001506417019314</v>
      </c>
      <c r="E113" s="3">
        <v>69.392744128947854</v>
      </c>
      <c r="F113" s="3">
        <v>67.662725873451635</v>
      </c>
      <c r="G113" s="3">
        <v>66.407652931067418</v>
      </c>
      <c r="H113" s="3">
        <v>68.583773310425087</v>
      </c>
      <c r="I113" s="3">
        <v>69.818895646509247</v>
      </c>
      <c r="J113" s="3">
        <v>76.089802398930402</v>
      </c>
      <c r="K113" s="3">
        <v>83.41604520938084</v>
      </c>
      <c r="L113" s="3">
        <v>88.294382428969996</v>
      </c>
      <c r="M113" s="3">
        <v>87.707381245937825</v>
      </c>
      <c r="N113" s="3">
        <v>88.928561754832131</v>
      </c>
      <c r="O113" s="3">
        <v>90.145478803557538</v>
      </c>
      <c r="P113" s="3">
        <v>90.592496377710049</v>
      </c>
      <c r="Q113" s="3">
        <v>91.406451607361817</v>
      </c>
      <c r="R113" s="3">
        <v>95.648897892462102</v>
      </c>
      <c r="S113" s="3">
        <v>144.93944031090851</v>
      </c>
      <c r="T113" s="3">
        <v>227.56308617539301</v>
      </c>
      <c r="U113" s="3">
        <v>548.70922150532726</v>
      </c>
      <c r="V113" s="3">
        <v>604.12855533723064</v>
      </c>
      <c r="W113" s="3">
        <v>530.01957105675353</v>
      </c>
      <c r="X113" s="3">
        <v>285.94760468345669</v>
      </c>
      <c r="Y113" s="3">
        <v>170.52790093946746</v>
      </c>
      <c r="Z113" s="3">
        <v>96.280429410875954</v>
      </c>
      <c r="BK113" s="18" t="s">
        <v>2</v>
      </c>
      <c r="BL113" s="17">
        <v>3</v>
      </c>
      <c r="BM113" s="18">
        <f t="shared" si="237"/>
        <v>0</v>
      </c>
      <c r="BN113" s="18">
        <f t="shared" si="238"/>
        <v>0</v>
      </c>
      <c r="BO113" s="18">
        <f t="shared" si="239"/>
        <v>0</v>
      </c>
      <c r="BP113" s="18">
        <f t="shared" si="240"/>
        <v>0</v>
      </c>
      <c r="BQ113" s="18">
        <f t="shared" si="241"/>
        <v>0</v>
      </c>
      <c r="BR113" s="18">
        <f t="shared" si="242"/>
        <v>0</v>
      </c>
      <c r="BS113" s="18">
        <f t="shared" si="243"/>
        <v>0</v>
      </c>
      <c r="BT113" s="18">
        <f t="shared" si="244"/>
        <v>0</v>
      </c>
      <c r="BU113" s="18">
        <f t="shared" si="245"/>
        <v>0</v>
      </c>
      <c r="BV113" s="18">
        <f t="shared" si="246"/>
        <v>0</v>
      </c>
      <c r="BW113" s="18">
        <f t="shared" si="247"/>
        <v>0</v>
      </c>
      <c r="BX113" s="18">
        <f t="shared" si="248"/>
        <v>0</v>
      </c>
      <c r="BY113" s="18">
        <f t="shared" si="249"/>
        <v>0</v>
      </c>
      <c r="BZ113" s="18">
        <f t="shared" si="250"/>
        <v>0</v>
      </c>
      <c r="CA113" s="18">
        <f t="shared" si="251"/>
        <v>0</v>
      </c>
      <c r="CB113" s="18">
        <f t="shared" si="252"/>
        <v>0</v>
      </c>
      <c r="CC113" s="18">
        <f t="shared" si="253"/>
        <v>0</v>
      </c>
      <c r="CD113" s="18">
        <f t="shared" si="254"/>
        <v>0</v>
      </c>
      <c r="CE113" s="18">
        <f t="shared" si="255"/>
        <v>0</v>
      </c>
      <c r="CF113" s="18">
        <f t="shared" si="256"/>
        <v>0</v>
      </c>
      <c r="CG113" s="18">
        <f t="shared" si="257"/>
        <v>0</v>
      </c>
      <c r="CH113" s="18">
        <f t="shared" si="258"/>
        <v>0</v>
      </c>
      <c r="CI113" s="18">
        <f t="shared" si="259"/>
        <v>0</v>
      </c>
      <c r="CJ113" s="18">
        <f t="shared" si="260"/>
        <v>0</v>
      </c>
      <c r="CK113" s="18">
        <v>31</v>
      </c>
      <c r="CL113" s="18">
        <f t="shared" si="261"/>
        <v>0</v>
      </c>
      <c r="CM113" s="18">
        <f t="shared" si="262"/>
        <v>0</v>
      </c>
      <c r="CN113" s="18">
        <f t="shared" si="236"/>
        <v>0</v>
      </c>
    </row>
    <row r="114" spans="2:92" x14ac:dyDescent="0.25">
      <c r="C114" s="3">
        <v>73.410753251168643</v>
      </c>
      <c r="D114" s="3">
        <v>72.349232482127093</v>
      </c>
      <c r="E114" s="3">
        <v>71.332753106805612</v>
      </c>
      <c r="F114" s="3">
        <v>70.110737707894643</v>
      </c>
      <c r="G114" s="3">
        <v>68.907153467313577</v>
      </c>
      <c r="H114" s="3">
        <v>69.427020545975921</v>
      </c>
      <c r="I114" s="3">
        <v>72.107479134247143</v>
      </c>
      <c r="J114" s="3">
        <v>78.326830510769199</v>
      </c>
      <c r="K114" s="3">
        <v>80.662836752916419</v>
      </c>
      <c r="L114" s="3">
        <v>84.578574447322367</v>
      </c>
      <c r="M114" s="3">
        <v>85.669112243784937</v>
      </c>
      <c r="N114" s="3">
        <v>84.864357785846522</v>
      </c>
      <c r="O114" s="3">
        <v>85.717519130503604</v>
      </c>
      <c r="P114" s="3">
        <v>88.496917198529687</v>
      </c>
      <c r="Q114" s="3">
        <v>93.737401912975713</v>
      </c>
      <c r="R114" s="3">
        <v>102.95475282356647</v>
      </c>
      <c r="S114" s="3">
        <v>145.55521014590349</v>
      </c>
      <c r="T114" s="3">
        <v>282.98954760864405</v>
      </c>
      <c r="U114" s="3">
        <v>605.47726035358687</v>
      </c>
      <c r="V114" s="3">
        <v>604.76671461228432</v>
      </c>
      <c r="W114" s="3">
        <v>338.85786385009351</v>
      </c>
      <c r="X114" s="3">
        <v>179.77661050174598</v>
      </c>
      <c r="Y114" s="3">
        <v>121.18046026760564</v>
      </c>
      <c r="Z114" s="3">
        <v>78.698206800881749</v>
      </c>
      <c r="BK114" s="18" t="s">
        <v>3</v>
      </c>
      <c r="BL114" s="17">
        <v>4</v>
      </c>
      <c r="BM114" s="18">
        <f t="shared" si="237"/>
        <v>0</v>
      </c>
      <c r="BN114" s="18">
        <f t="shared" si="238"/>
        <v>0</v>
      </c>
      <c r="BO114" s="18">
        <f t="shared" si="239"/>
        <v>0</v>
      </c>
      <c r="BP114" s="18">
        <f t="shared" si="240"/>
        <v>0</v>
      </c>
      <c r="BQ114" s="18">
        <f t="shared" si="241"/>
        <v>0</v>
      </c>
      <c r="BR114" s="18">
        <f t="shared" si="242"/>
        <v>0</v>
      </c>
      <c r="BS114" s="18">
        <f t="shared" si="243"/>
        <v>0</v>
      </c>
      <c r="BT114" s="18">
        <f t="shared" si="244"/>
        <v>0</v>
      </c>
      <c r="BU114" s="18">
        <f t="shared" si="245"/>
        <v>0</v>
      </c>
      <c r="BV114" s="18">
        <f t="shared" si="246"/>
        <v>0</v>
      </c>
      <c r="BW114" s="18">
        <f t="shared" si="247"/>
        <v>0</v>
      </c>
      <c r="BX114" s="18">
        <f t="shared" si="248"/>
        <v>0</v>
      </c>
      <c r="BY114" s="18">
        <f t="shared" si="249"/>
        <v>0</v>
      </c>
      <c r="BZ114" s="18">
        <f t="shared" si="250"/>
        <v>0</v>
      </c>
      <c r="CA114" s="18">
        <f t="shared" si="251"/>
        <v>0</v>
      </c>
      <c r="CB114" s="18">
        <f t="shared" si="252"/>
        <v>0</v>
      </c>
      <c r="CC114" s="18">
        <f t="shared" si="253"/>
        <v>0</v>
      </c>
      <c r="CD114" s="18">
        <f t="shared" si="254"/>
        <v>0</v>
      </c>
      <c r="CE114" s="18">
        <f t="shared" si="255"/>
        <v>0</v>
      </c>
      <c r="CF114" s="18">
        <f t="shared" si="256"/>
        <v>0</v>
      </c>
      <c r="CG114" s="18">
        <f t="shared" si="257"/>
        <v>0</v>
      </c>
      <c r="CH114" s="18">
        <f t="shared" si="258"/>
        <v>0</v>
      </c>
      <c r="CI114" s="18">
        <f t="shared" si="259"/>
        <v>0</v>
      </c>
      <c r="CJ114" s="18">
        <f t="shared" si="260"/>
        <v>0</v>
      </c>
      <c r="CK114" s="18">
        <v>30</v>
      </c>
      <c r="CL114" s="18">
        <f t="shared" si="261"/>
        <v>0</v>
      </c>
      <c r="CM114" s="18">
        <f t="shared" si="262"/>
        <v>0</v>
      </c>
      <c r="CN114" s="18">
        <f t="shared" si="236"/>
        <v>0</v>
      </c>
    </row>
    <row r="115" spans="2:92" x14ac:dyDescent="0.25">
      <c r="C115" s="3">
        <v>62.027590677754645</v>
      </c>
      <c r="D115" s="3">
        <v>60.295408149635961</v>
      </c>
      <c r="E115" s="3">
        <v>59.560450660591997</v>
      </c>
      <c r="F115" s="3">
        <v>57.908244401306241</v>
      </c>
      <c r="G115" s="3">
        <v>56.90490324976912</v>
      </c>
      <c r="H115" s="3">
        <v>57.446431456709014</v>
      </c>
      <c r="I115" s="3">
        <v>58.279118757661394</v>
      </c>
      <c r="J115" s="3">
        <v>62.329355720081274</v>
      </c>
      <c r="K115" s="3">
        <v>69.026002315296068</v>
      </c>
      <c r="L115" s="3">
        <v>73.745254680959377</v>
      </c>
      <c r="M115" s="3">
        <v>75.827860105002046</v>
      </c>
      <c r="N115" s="3">
        <v>78.991376157383925</v>
      </c>
      <c r="O115" s="3">
        <v>80.687248500657859</v>
      </c>
      <c r="P115" s="3">
        <v>77.935148322887926</v>
      </c>
      <c r="Q115" s="3">
        <v>80.400704725936549</v>
      </c>
      <c r="R115" s="3">
        <v>83.016305412814361</v>
      </c>
      <c r="S115" s="3">
        <v>120.80440591648231</v>
      </c>
      <c r="T115" s="3">
        <v>164.01397988739345</v>
      </c>
      <c r="U115" s="3">
        <v>550.56827535225329</v>
      </c>
      <c r="V115" s="3">
        <v>588.00540082818247</v>
      </c>
      <c r="W115" s="3">
        <v>370.83088125708997</v>
      </c>
      <c r="X115" s="3">
        <v>164.08155828941605</v>
      </c>
      <c r="Y115" s="3">
        <v>123.89006136673723</v>
      </c>
      <c r="Z115" s="3">
        <v>69.36120394361474</v>
      </c>
      <c r="BK115" s="18" t="s">
        <v>4</v>
      </c>
      <c r="BL115" s="17">
        <v>5</v>
      </c>
      <c r="BM115" s="18">
        <f t="shared" si="237"/>
        <v>0</v>
      </c>
      <c r="BN115" s="18">
        <f t="shared" si="238"/>
        <v>0</v>
      </c>
      <c r="BO115" s="18">
        <f t="shared" si="239"/>
        <v>0</v>
      </c>
      <c r="BP115" s="18">
        <f t="shared" si="240"/>
        <v>0</v>
      </c>
      <c r="BQ115" s="18">
        <f t="shared" si="241"/>
        <v>0</v>
      </c>
      <c r="BR115" s="18">
        <f t="shared" si="242"/>
        <v>0</v>
      </c>
      <c r="BS115" s="18">
        <f t="shared" si="243"/>
        <v>0</v>
      </c>
      <c r="BT115" s="18">
        <f t="shared" si="244"/>
        <v>0</v>
      </c>
      <c r="BU115" s="18">
        <f t="shared" si="245"/>
        <v>0</v>
      </c>
      <c r="BV115" s="18">
        <f t="shared" si="246"/>
        <v>0</v>
      </c>
      <c r="BW115" s="18">
        <f t="shared" si="247"/>
        <v>0</v>
      </c>
      <c r="BX115" s="18">
        <f t="shared" si="248"/>
        <v>0</v>
      </c>
      <c r="BY115" s="18">
        <f t="shared" si="249"/>
        <v>0</v>
      </c>
      <c r="BZ115" s="18">
        <f t="shared" si="250"/>
        <v>0</v>
      </c>
      <c r="CA115" s="18">
        <f t="shared" si="251"/>
        <v>0</v>
      </c>
      <c r="CB115" s="18">
        <f t="shared" si="252"/>
        <v>0</v>
      </c>
      <c r="CC115" s="18">
        <f t="shared" si="253"/>
        <v>0</v>
      </c>
      <c r="CD115" s="18">
        <f t="shared" si="254"/>
        <v>0</v>
      </c>
      <c r="CE115" s="18">
        <f t="shared" si="255"/>
        <v>0</v>
      </c>
      <c r="CF115" s="18">
        <f t="shared" si="256"/>
        <v>0</v>
      </c>
      <c r="CG115" s="18">
        <f t="shared" si="257"/>
        <v>0</v>
      </c>
      <c r="CH115" s="18">
        <f t="shared" si="258"/>
        <v>0</v>
      </c>
      <c r="CI115" s="18">
        <f t="shared" si="259"/>
        <v>0</v>
      </c>
      <c r="CJ115" s="18">
        <f t="shared" si="260"/>
        <v>0</v>
      </c>
      <c r="CK115" s="18">
        <v>31</v>
      </c>
      <c r="CL115" s="18">
        <f t="shared" si="261"/>
        <v>0</v>
      </c>
      <c r="CM115" s="18">
        <f t="shared" si="262"/>
        <v>0</v>
      </c>
      <c r="CN115" s="18">
        <f t="shared" si="236"/>
        <v>0</v>
      </c>
    </row>
    <row r="116" spans="2:92" x14ac:dyDescent="0.25">
      <c r="C116" s="3">
        <v>59.946666912781772</v>
      </c>
      <c r="D116" s="3">
        <v>58.608736578075373</v>
      </c>
      <c r="E116" s="3">
        <v>57.761739532114426</v>
      </c>
      <c r="F116" s="3">
        <v>56.163673293993348</v>
      </c>
      <c r="G116" s="3">
        <v>54.877690265384466</v>
      </c>
      <c r="H116" s="3">
        <v>56.204681868696717</v>
      </c>
      <c r="I116" s="3">
        <v>52.88257244387507</v>
      </c>
      <c r="J116" s="3">
        <v>53.437812923501802</v>
      </c>
      <c r="K116" s="3">
        <v>58.675271454947186</v>
      </c>
      <c r="L116" s="3">
        <v>59.576487577575989</v>
      </c>
      <c r="M116" s="3">
        <v>59.140268694331709</v>
      </c>
      <c r="N116" s="3">
        <v>58.186329855800267</v>
      </c>
      <c r="O116" s="3">
        <v>62.895689862508029</v>
      </c>
      <c r="P116" s="3">
        <v>65.952624513940933</v>
      </c>
      <c r="Q116" s="3">
        <v>66.137514495080211</v>
      </c>
      <c r="R116" s="3">
        <v>73.132488525258296</v>
      </c>
      <c r="S116" s="3">
        <v>90.326955941708604</v>
      </c>
      <c r="T116" s="3">
        <v>114.6522575775337</v>
      </c>
      <c r="U116" s="3">
        <v>214.770869593002</v>
      </c>
      <c r="V116" s="3">
        <v>262.01575766296605</v>
      </c>
      <c r="W116" s="3">
        <v>218.80952040717472</v>
      </c>
      <c r="X116" s="3">
        <v>105.01281791873556</v>
      </c>
      <c r="Y116" s="3">
        <v>70.259001953044546</v>
      </c>
      <c r="Z116" s="3">
        <v>63.251022294498156</v>
      </c>
      <c r="BK116" s="18" t="s">
        <v>5</v>
      </c>
      <c r="BL116" s="17">
        <v>6</v>
      </c>
      <c r="BM116" s="18">
        <f t="shared" si="237"/>
        <v>0</v>
      </c>
      <c r="BN116" s="18">
        <f t="shared" si="238"/>
        <v>0</v>
      </c>
      <c r="BO116" s="18">
        <f t="shared" si="239"/>
        <v>0</v>
      </c>
      <c r="BP116" s="18">
        <f t="shared" si="240"/>
        <v>0</v>
      </c>
      <c r="BQ116" s="18">
        <f t="shared" si="241"/>
        <v>0</v>
      </c>
      <c r="BR116" s="18">
        <f t="shared" si="242"/>
        <v>0</v>
      </c>
      <c r="BS116" s="18">
        <f t="shared" si="243"/>
        <v>0</v>
      </c>
      <c r="BT116" s="18">
        <f t="shared" si="244"/>
        <v>0</v>
      </c>
      <c r="BU116" s="18">
        <f t="shared" si="245"/>
        <v>0</v>
      </c>
      <c r="BV116" s="18">
        <f t="shared" si="246"/>
        <v>0</v>
      </c>
      <c r="BW116" s="18">
        <f t="shared" si="247"/>
        <v>0</v>
      </c>
      <c r="BX116" s="18">
        <f t="shared" si="248"/>
        <v>0</v>
      </c>
      <c r="BY116" s="18">
        <f t="shared" si="249"/>
        <v>0</v>
      </c>
      <c r="BZ116" s="18">
        <f t="shared" si="250"/>
        <v>0</v>
      </c>
      <c r="CA116" s="18">
        <f t="shared" si="251"/>
        <v>0</v>
      </c>
      <c r="CB116" s="18">
        <f t="shared" si="252"/>
        <v>0</v>
      </c>
      <c r="CC116" s="18">
        <f t="shared" si="253"/>
        <v>0</v>
      </c>
      <c r="CD116" s="18">
        <f t="shared" si="254"/>
        <v>0</v>
      </c>
      <c r="CE116" s="18">
        <f t="shared" si="255"/>
        <v>0</v>
      </c>
      <c r="CF116" s="18">
        <f t="shared" si="256"/>
        <v>0</v>
      </c>
      <c r="CG116" s="18">
        <f t="shared" si="257"/>
        <v>0</v>
      </c>
      <c r="CH116" s="18">
        <f t="shared" si="258"/>
        <v>0</v>
      </c>
      <c r="CI116" s="18">
        <f t="shared" si="259"/>
        <v>0</v>
      </c>
      <c r="CJ116" s="18">
        <f t="shared" si="260"/>
        <v>0</v>
      </c>
      <c r="CK116" s="18">
        <v>30</v>
      </c>
      <c r="CL116" s="18">
        <f t="shared" si="261"/>
        <v>0</v>
      </c>
      <c r="CM116" s="18">
        <f t="shared" si="262"/>
        <v>0</v>
      </c>
      <c r="CN116" s="18">
        <f t="shared" si="236"/>
        <v>0</v>
      </c>
    </row>
    <row r="117" spans="2:92" x14ac:dyDescent="0.25">
      <c r="C117" s="3">
        <v>62.573786906093837</v>
      </c>
      <c r="D117" s="3">
        <v>55.218856339389099</v>
      </c>
      <c r="E117" s="3">
        <v>50.755963715676295</v>
      </c>
      <c r="F117" s="3">
        <v>49.818772954321759</v>
      </c>
      <c r="G117" s="3">
        <v>51.28188416508133</v>
      </c>
      <c r="H117" s="3">
        <v>49.235942792927922</v>
      </c>
      <c r="I117" s="3">
        <v>47.529411799231674</v>
      </c>
      <c r="J117" s="3">
        <v>50.404737721058559</v>
      </c>
      <c r="K117" s="3">
        <v>55.214208397212914</v>
      </c>
      <c r="L117" s="3">
        <v>62.104700883295934</v>
      </c>
      <c r="M117" s="3">
        <v>66.215451473919913</v>
      </c>
      <c r="N117" s="3">
        <v>65.861038171851092</v>
      </c>
      <c r="O117" s="3">
        <v>68.711952345936524</v>
      </c>
      <c r="P117" s="3">
        <v>65.455946714083652</v>
      </c>
      <c r="Q117" s="3">
        <v>64.272575510717076</v>
      </c>
      <c r="R117" s="3">
        <v>62.755076823827373</v>
      </c>
      <c r="S117" s="3">
        <v>77.921530748619674</v>
      </c>
      <c r="T117" s="3">
        <v>164.08370407495667</v>
      </c>
      <c r="U117" s="3">
        <v>324.74584584130105</v>
      </c>
      <c r="V117" s="3">
        <v>302.29177874533661</v>
      </c>
      <c r="W117" s="3">
        <v>167.7267037940685</v>
      </c>
      <c r="X117" s="3">
        <v>68.211048478196119</v>
      </c>
      <c r="Y117" s="3">
        <v>60.74849992496938</v>
      </c>
      <c r="Z117" s="3">
        <v>65.622193549759373</v>
      </c>
      <c r="BK117" s="18" t="s">
        <v>6</v>
      </c>
      <c r="BL117" s="17">
        <v>7</v>
      </c>
      <c r="BM117" s="18">
        <f t="shared" si="237"/>
        <v>0</v>
      </c>
      <c r="BN117" s="18">
        <f t="shared" si="238"/>
        <v>0</v>
      </c>
      <c r="BO117" s="18">
        <f t="shared" si="239"/>
        <v>0</v>
      </c>
      <c r="BP117" s="18">
        <f t="shared" si="240"/>
        <v>0</v>
      </c>
      <c r="BQ117" s="18">
        <f t="shared" si="241"/>
        <v>0</v>
      </c>
      <c r="BR117" s="18">
        <f t="shared" si="242"/>
        <v>0</v>
      </c>
      <c r="BS117" s="18">
        <f t="shared" si="243"/>
        <v>0</v>
      </c>
      <c r="BT117" s="18">
        <f t="shared" si="244"/>
        <v>0</v>
      </c>
      <c r="BU117" s="18">
        <f t="shared" si="245"/>
        <v>0</v>
      </c>
      <c r="BV117" s="18">
        <f t="shared" si="246"/>
        <v>0</v>
      </c>
      <c r="BW117" s="18">
        <f t="shared" si="247"/>
        <v>0</v>
      </c>
      <c r="BX117" s="18">
        <f t="shared" si="248"/>
        <v>0</v>
      </c>
      <c r="BY117" s="18">
        <f t="shared" si="249"/>
        <v>0</v>
      </c>
      <c r="BZ117" s="18">
        <f t="shared" si="250"/>
        <v>0</v>
      </c>
      <c r="CA117" s="18">
        <f t="shared" si="251"/>
        <v>0</v>
      </c>
      <c r="CB117" s="18">
        <f t="shared" si="252"/>
        <v>0</v>
      </c>
      <c r="CC117" s="18">
        <f t="shared" si="253"/>
        <v>0</v>
      </c>
      <c r="CD117" s="18">
        <f t="shared" si="254"/>
        <v>0</v>
      </c>
      <c r="CE117" s="18">
        <f t="shared" si="255"/>
        <v>0</v>
      </c>
      <c r="CF117" s="18">
        <f t="shared" si="256"/>
        <v>0</v>
      </c>
      <c r="CG117" s="18">
        <f t="shared" si="257"/>
        <v>0</v>
      </c>
      <c r="CH117" s="18">
        <f t="shared" si="258"/>
        <v>0</v>
      </c>
      <c r="CI117" s="18">
        <f t="shared" si="259"/>
        <v>0</v>
      </c>
      <c r="CJ117" s="18">
        <f t="shared" si="260"/>
        <v>0</v>
      </c>
      <c r="CK117" s="18">
        <v>31</v>
      </c>
      <c r="CL117" s="18">
        <f t="shared" si="261"/>
        <v>0</v>
      </c>
      <c r="CM117" s="18">
        <f t="shared" si="262"/>
        <v>0</v>
      </c>
      <c r="CN117" s="18">
        <f t="shared" si="236"/>
        <v>0</v>
      </c>
    </row>
    <row r="118" spans="2:92" x14ac:dyDescent="0.25">
      <c r="C118" s="3">
        <v>52.27729076610855</v>
      </c>
      <c r="D118" s="3">
        <v>42.295869217770687</v>
      </c>
      <c r="E118" s="3">
        <v>36.332286885859467</v>
      </c>
      <c r="F118" s="3">
        <v>35.871628314019446</v>
      </c>
      <c r="G118" s="3">
        <v>35.219899818648287</v>
      </c>
      <c r="H118" s="3">
        <v>34.952097986341748</v>
      </c>
      <c r="I118" s="3">
        <v>34.383787045236424</v>
      </c>
      <c r="J118" s="3">
        <v>32.638491390801555</v>
      </c>
      <c r="K118" s="3">
        <v>35.12626448394839</v>
      </c>
      <c r="L118" s="3">
        <v>35.386830883086056</v>
      </c>
      <c r="M118" s="3">
        <v>37.846676237273392</v>
      </c>
      <c r="N118" s="3">
        <v>37.805818077321206</v>
      </c>
      <c r="O118" s="3">
        <v>38.17097929108342</v>
      </c>
      <c r="P118" s="3">
        <v>39.066650840639554</v>
      </c>
      <c r="Q118" s="3">
        <v>39.767839623676359</v>
      </c>
      <c r="R118" s="3">
        <v>40.268505738287814</v>
      </c>
      <c r="S118" s="3">
        <v>44.219830826373126</v>
      </c>
      <c r="T118" s="3">
        <v>62.52356292228351</v>
      </c>
      <c r="U118" s="3">
        <v>59.916272903920913</v>
      </c>
      <c r="V118" s="3">
        <v>63.088956349233975</v>
      </c>
      <c r="W118" s="3">
        <v>52.265146129186256</v>
      </c>
      <c r="X118" s="3">
        <v>66.223258278761492</v>
      </c>
      <c r="Y118" s="3">
        <v>59.920375575073408</v>
      </c>
      <c r="Z118" s="3">
        <v>60.712302927185732</v>
      </c>
      <c r="BK118" s="18" t="s">
        <v>7</v>
      </c>
      <c r="BL118" s="17">
        <v>8</v>
      </c>
      <c r="BM118" s="18">
        <f t="shared" si="237"/>
        <v>0</v>
      </c>
      <c r="BN118" s="18">
        <f t="shared" si="238"/>
        <v>0</v>
      </c>
      <c r="BO118" s="18">
        <f t="shared" si="239"/>
        <v>0</v>
      </c>
      <c r="BP118" s="18">
        <f t="shared" si="240"/>
        <v>0</v>
      </c>
      <c r="BQ118" s="18">
        <f t="shared" si="241"/>
        <v>0</v>
      </c>
      <c r="BR118" s="18">
        <f t="shared" si="242"/>
        <v>0</v>
      </c>
      <c r="BS118" s="18">
        <f t="shared" si="243"/>
        <v>0</v>
      </c>
      <c r="BT118" s="18">
        <f t="shared" si="244"/>
        <v>0</v>
      </c>
      <c r="BU118" s="18">
        <f t="shared" si="245"/>
        <v>0</v>
      </c>
      <c r="BV118" s="18">
        <f t="shared" si="246"/>
        <v>0</v>
      </c>
      <c r="BW118" s="18">
        <f t="shared" si="247"/>
        <v>0</v>
      </c>
      <c r="BX118" s="18">
        <f t="shared" si="248"/>
        <v>0</v>
      </c>
      <c r="BY118" s="18">
        <f t="shared" si="249"/>
        <v>0</v>
      </c>
      <c r="BZ118" s="18">
        <f t="shared" si="250"/>
        <v>0</v>
      </c>
      <c r="CA118" s="18">
        <f t="shared" si="251"/>
        <v>0</v>
      </c>
      <c r="CB118" s="18">
        <f t="shared" si="252"/>
        <v>0</v>
      </c>
      <c r="CC118" s="18">
        <f t="shared" si="253"/>
        <v>0</v>
      </c>
      <c r="CD118" s="18">
        <f t="shared" si="254"/>
        <v>0</v>
      </c>
      <c r="CE118" s="18">
        <f t="shared" si="255"/>
        <v>0</v>
      </c>
      <c r="CF118" s="18">
        <f t="shared" si="256"/>
        <v>0</v>
      </c>
      <c r="CG118" s="18">
        <f t="shared" si="257"/>
        <v>0</v>
      </c>
      <c r="CH118" s="18">
        <f t="shared" si="258"/>
        <v>0</v>
      </c>
      <c r="CI118" s="18">
        <f t="shared" si="259"/>
        <v>0</v>
      </c>
      <c r="CJ118" s="18">
        <f t="shared" si="260"/>
        <v>0</v>
      </c>
      <c r="CK118" s="18">
        <v>31</v>
      </c>
      <c r="CL118" s="18">
        <f t="shared" si="261"/>
        <v>0</v>
      </c>
      <c r="CM118" s="18">
        <f t="shared" si="262"/>
        <v>0</v>
      </c>
      <c r="CN118" s="18">
        <f t="shared" si="236"/>
        <v>0</v>
      </c>
    </row>
    <row r="119" spans="2:92" x14ac:dyDescent="0.25">
      <c r="C119" s="3">
        <v>52.53916822692657</v>
      </c>
      <c r="D119" s="3">
        <v>48.202043662352395</v>
      </c>
      <c r="E119" s="3">
        <v>40.407503371531575</v>
      </c>
      <c r="F119" s="3">
        <v>34.830005031047733</v>
      </c>
      <c r="G119" s="3">
        <v>34.631418337449034</v>
      </c>
      <c r="H119" s="3">
        <v>30.943783793769761</v>
      </c>
      <c r="I119" s="3">
        <v>41.505760973793642</v>
      </c>
      <c r="J119" s="3">
        <v>34.306792538609926</v>
      </c>
      <c r="K119" s="3">
        <v>35.559825187820088</v>
      </c>
      <c r="L119" s="3">
        <v>38.986025398996951</v>
      </c>
      <c r="M119" s="3">
        <v>38.995517044069423</v>
      </c>
      <c r="N119" s="3">
        <v>38.255266620479937</v>
      </c>
      <c r="O119" s="3">
        <v>39.635098811127676</v>
      </c>
      <c r="P119" s="3">
        <v>41.391005432121823</v>
      </c>
      <c r="Q119" s="3">
        <v>44.582579810956986</v>
      </c>
      <c r="R119" s="3">
        <v>48.812774043875088</v>
      </c>
      <c r="S119" s="3">
        <v>55.03961684259145</v>
      </c>
      <c r="T119" s="3">
        <v>54.281070783722924</v>
      </c>
      <c r="U119" s="3">
        <v>54.53728496301099</v>
      </c>
      <c r="V119" s="3">
        <v>56.74957607100594</v>
      </c>
      <c r="W119" s="3">
        <v>51.563541574409754</v>
      </c>
      <c r="X119" s="3">
        <v>77.336253636748836</v>
      </c>
      <c r="Y119" s="3">
        <v>70.457242979004974</v>
      </c>
      <c r="Z119" s="3">
        <v>66.49000395098362</v>
      </c>
      <c r="BK119" s="18" t="s">
        <v>8</v>
      </c>
      <c r="BL119" s="17">
        <v>9</v>
      </c>
      <c r="BM119" s="18">
        <f t="shared" si="237"/>
        <v>0</v>
      </c>
      <c r="BN119" s="18">
        <f t="shared" si="238"/>
        <v>0</v>
      </c>
      <c r="BO119" s="18">
        <f t="shared" si="239"/>
        <v>0</v>
      </c>
      <c r="BP119" s="18">
        <f t="shared" si="240"/>
        <v>0</v>
      </c>
      <c r="BQ119" s="18">
        <f t="shared" si="241"/>
        <v>0</v>
      </c>
      <c r="BR119" s="18">
        <f t="shared" si="242"/>
        <v>0</v>
      </c>
      <c r="BS119" s="18">
        <f t="shared" si="243"/>
        <v>0</v>
      </c>
      <c r="BT119" s="18">
        <f t="shared" si="244"/>
        <v>0</v>
      </c>
      <c r="BU119" s="18">
        <f t="shared" si="245"/>
        <v>0</v>
      </c>
      <c r="BV119" s="18">
        <f t="shared" si="246"/>
        <v>0</v>
      </c>
      <c r="BW119" s="18">
        <f t="shared" si="247"/>
        <v>0</v>
      </c>
      <c r="BX119" s="18">
        <f t="shared" si="248"/>
        <v>0</v>
      </c>
      <c r="BY119" s="18">
        <f t="shared" si="249"/>
        <v>0</v>
      </c>
      <c r="BZ119" s="18">
        <f t="shared" si="250"/>
        <v>0</v>
      </c>
      <c r="CA119" s="18">
        <f t="shared" si="251"/>
        <v>0</v>
      </c>
      <c r="CB119" s="18">
        <f t="shared" si="252"/>
        <v>0</v>
      </c>
      <c r="CC119" s="18">
        <f t="shared" si="253"/>
        <v>0</v>
      </c>
      <c r="CD119" s="18">
        <f t="shared" si="254"/>
        <v>0</v>
      </c>
      <c r="CE119" s="18">
        <f t="shared" si="255"/>
        <v>0</v>
      </c>
      <c r="CF119" s="18">
        <f t="shared" si="256"/>
        <v>0</v>
      </c>
      <c r="CG119" s="18">
        <f t="shared" si="257"/>
        <v>0</v>
      </c>
      <c r="CH119" s="18">
        <f t="shared" si="258"/>
        <v>0</v>
      </c>
      <c r="CI119" s="18">
        <f t="shared" si="259"/>
        <v>0</v>
      </c>
      <c r="CJ119" s="18">
        <f t="shared" si="260"/>
        <v>0</v>
      </c>
      <c r="CK119" s="18">
        <v>30</v>
      </c>
      <c r="CL119" s="18">
        <f t="shared" si="261"/>
        <v>0</v>
      </c>
      <c r="CM119" s="18">
        <f t="shared" si="262"/>
        <v>0</v>
      </c>
      <c r="CN119" s="18">
        <f t="shared" si="236"/>
        <v>0</v>
      </c>
    </row>
    <row r="120" spans="2:92" x14ac:dyDescent="0.25">
      <c r="BK120" s="18" t="s">
        <v>9</v>
      </c>
      <c r="BL120" s="17">
        <v>10</v>
      </c>
      <c r="BM120" s="18">
        <f t="shared" si="237"/>
        <v>0</v>
      </c>
      <c r="BN120" s="18">
        <f t="shared" si="238"/>
        <v>0</v>
      </c>
      <c r="BO120" s="18">
        <f t="shared" si="239"/>
        <v>0</v>
      </c>
      <c r="BP120" s="18">
        <f t="shared" si="240"/>
        <v>0</v>
      </c>
      <c r="BQ120" s="18">
        <f t="shared" si="241"/>
        <v>0</v>
      </c>
      <c r="BR120" s="18">
        <f t="shared" si="242"/>
        <v>0</v>
      </c>
      <c r="BS120" s="18">
        <f t="shared" si="243"/>
        <v>0</v>
      </c>
      <c r="BT120" s="18">
        <f t="shared" si="244"/>
        <v>0</v>
      </c>
      <c r="BU120" s="18">
        <f t="shared" si="245"/>
        <v>0</v>
      </c>
      <c r="BV120" s="18">
        <f t="shared" si="246"/>
        <v>0</v>
      </c>
      <c r="BW120" s="18">
        <f t="shared" si="247"/>
        <v>0</v>
      </c>
      <c r="BX120" s="18">
        <f t="shared" si="248"/>
        <v>0</v>
      </c>
      <c r="BY120" s="18">
        <f t="shared" si="249"/>
        <v>0</v>
      </c>
      <c r="BZ120" s="18">
        <f t="shared" si="250"/>
        <v>0</v>
      </c>
      <c r="CA120" s="18">
        <f t="shared" si="251"/>
        <v>0</v>
      </c>
      <c r="CB120" s="18">
        <f t="shared" si="252"/>
        <v>0</v>
      </c>
      <c r="CC120" s="18">
        <f t="shared" si="253"/>
        <v>0</v>
      </c>
      <c r="CD120" s="18">
        <f t="shared" si="254"/>
        <v>0</v>
      </c>
      <c r="CE120" s="18">
        <f t="shared" si="255"/>
        <v>0</v>
      </c>
      <c r="CF120" s="18">
        <f t="shared" si="256"/>
        <v>0</v>
      </c>
      <c r="CG120" s="18">
        <f t="shared" si="257"/>
        <v>0</v>
      </c>
      <c r="CH120" s="18">
        <f t="shared" si="258"/>
        <v>0</v>
      </c>
      <c r="CI120" s="18">
        <f t="shared" si="259"/>
        <v>0</v>
      </c>
      <c r="CJ120" s="18">
        <f t="shared" si="260"/>
        <v>0</v>
      </c>
      <c r="CK120" s="18">
        <v>31</v>
      </c>
      <c r="CL120" s="18">
        <f t="shared" si="261"/>
        <v>0</v>
      </c>
      <c r="CM120" s="18">
        <f t="shared" si="262"/>
        <v>0</v>
      </c>
      <c r="CN120" s="18">
        <f t="shared" si="236"/>
        <v>0</v>
      </c>
    </row>
    <row r="121" spans="2:92" x14ac:dyDescent="0.25">
      <c r="B121" s="3" t="s">
        <v>191</v>
      </c>
      <c r="C121" s="3">
        <v>535.42483870967737</v>
      </c>
      <c r="D121" s="3">
        <v>506.56412903225805</v>
      </c>
      <c r="E121" s="3">
        <v>498.10493548387092</v>
      </c>
      <c r="F121" s="3">
        <v>531.30693548387092</v>
      </c>
      <c r="G121" s="3">
        <v>630.07448387096781</v>
      </c>
      <c r="H121" s="3">
        <v>712.09074193548372</v>
      </c>
      <c r="I121" s="3">
        <v>752.07261290322583</v>
      </c>
      <c r="J121" s="3">
        <v>812.51493548387089</v>
      </c>
      <c r="K121" s="3">
        <v>928.87638709677435</v>
      </c>
      <c r="L121" s="3">
        <v>1001.2517096774194</v>
      </c>
      <c r="M121" s="3">
        <v>1041.8475483870968</v>
      </c>
      <c r="N121" s="3">
        <v>1065.8675806451613</v>
      </c>
      <c r="O121" s="3">
        <v>1081.1589032258064</v>
      </c>
      <c r="P121" s="3">
        <v>1093.8993870967745</v>
      </c>
      <c r="Q121" s="3">
        <v>1085.458516129032</v>
      </c>
      <c r="R121" s="3">
        <v>1050.6823870967742</v>
      </c>
      <c r="S121" s="3">
        <v>993.90351612903248</v>
      </c>
      <c r="T121" s="3">
        <v>918.95074193548351</v>
      </c>
      <c r="U121" s="3">
        <v>859.13383870967743</v>
      </c>
      <c r="V121" s="3">
        <v>782.0206774193548</v>
      </c>
      <c r="W121" s="3">
        <v>652.39435483870966</v>
      </c>
      <c r="X121" s="3">
        <v>598.37277419354814</v>
      </c>
      <c r="Y121" s="3">
        <v>569.02690322580634</v>
      </c>
      <c r="Z121" s="3">
        <v>553.49383870967745</v>
      </c>
      <c r="BK121" s="18" t="s">
        <v>10</v>
      </c>
      <c r="BL121" s="17">
        <v>11</v>
      </c>
      <c r="BM121" s="18">
        <f t="shared" si="237"/>
        <v>0</v>
      </c>
      <c r="BN121" s="18">
        <f t="shared" si="238"/>
        <v>0</v>
      </c>
      <c r="BO121" s="18">
        <f t="shared" si="239"/>
        <v>0</v>
      </c>
      <c r="BP121" s="18">
        <f t="shared" si="240"/>
        <v>0</v>
      </c>
      <c r="BQ121" s="18">
        <f t="shared" si="241"/>
        <v>0</v>
      </c>
      <c r="BR121" s="18">
        <f t="shared" si="242"/>
        <v>0</v>
      </c>
      <c r="BS121" s="18">
        <f t="shared" si="243"/>
        <v>0</v>
      </c>
      <c r="BT121" s="18">
        <f t="shared" si="244"/>
        <v>0</v>
      </c>
      <c r="BU121" s="18">
        <f t="shared" si="245"/>
        <v>0</v>
      </c>
      <c r="BV121" s="18">
        <f t="shared" si="246"/>
        <v>0</v>
      </c>
      <c r="BW121" s="18">
        <f t="shared" si="247"/>
        <v>0</v>
      </c>
      <c r="BX121" s="18">
        <f t="shared" si="248"/>
        <v>0</v>
      </c>
      <c r="BY121" s="18">
        <f t="shared" si="249"/>
        <v>0</v>
      </c>
      <c r="BZ121" s="18">
        <f t="shared" si="250"/>
        <v>0</v>
      </c>
      <c r="CA121" s="18">
        <f t="shared" si="251"/>
        <v>0</v>
      </c>
      <c r="CB121" s="18">
        <f t="shared" si="252"/>
        <v>0</v>
      </c>
      <c r="CC121" s="18">
        <f t="shared" si="253"/>
        <v>0</v>
      </c>
      <c r="CD121" s="18">
        <f t="shared" si="254"/>
        <v>0</v>
      </c>
      <c r="CE121" s="18">
        <f t="shared" si="255"/>
        <v>0</v>
      </c>
      <c r="CF121" s="18">
        <f t="shared" si="256"/>
        <v>0</v>
      </c>
      <c r="CG121" s="18">
        <f t="shared" si="257"/>
        <v>0</v>
      </c>
      <c r="CH121" s="18">
        <f t="shared" si="258"/>
        <v>0</v>
      </c>
      <c r="CI121" s="18">
        <f t="shared" si="259"/>
        <v>0</v>
      </c>
      <c r="CJ121" s="18">
        <f t="shared" si="260"/>
        <v>0</v>
      </c>
      <c r="CK121" s="18">
        <v>30</v>
      </c>
      <c r="CL121" s="18">
        <f t="shared" si="261"/>
        <v>0</v>
      </c>
      <c r="CM121" s="18">
        <f t="shared" si="262"/>
        <v>0</v>
      </c>
      <c r="CN121" s="18">
        <f t="shared" si="236"/>
        <v>0</v>
      </c>
    </row>
    <row r="122" spans="2:92" x14ac:dyDescent="0.25">
      <c r="C122" s="3">
        <v>539.08528571428576</v>
      </c>
      <c r="D122" s="3">
        <v>506.96832142857147</v>
      </c>
      <c r="E122" s="3">
        <v>507.79678571428582</v>
      </c>
      <c r="F122" s="3">
        <v>539.01303571428571</v>
      </c>
      <c r="G122" s="3">
        <v>632.01035714285729</v>
      </c>
      <c r="H122" s="3">
        <v>743.26039285714273</v>
      </c>
      <c r="I122" s="3">
        <v>775.48596428571443</v>
      </c>
      <c r="J122" s="3">
        <v>822.03632142857134</v>
      </c>
      <c r="K122" s="3">
        <v>932.84414285714286</v>
      </c>
      <c r="L122" s="3">
        <v>1002.674535714286</v>
      </c>
      <c r="M122" s="3">
        <v>1025.4304285714286</v>
      </c>
      <c r="N122" s="3">
        <v>1051.6861785714286</v>
      </c>
      <c r="O122" s="3">
        <v>1078.0104642857141</v>
      </c>
      <c r="P122" s="3">
        <v>1088.1541428571427</v>
      </c>
      <c r="Q122" s="3">
        <v>1073.4678214285716</v>
      </c>
      <c r="R122" s="3">
        <v>1055.3581428571431</v>
      </c>
      <c r="S122" s="3">
        <v>1004.4509642857143</v>
      </c>
      <c r="T122" s="3">
        <v>947.41885714285695</v>
      </c>
      <c r="U122" s="3">
        <v>899.82239285714263</v>
      </c>
      <c r="V122" s="3">
        <v>821.52464285714291</v>
      </c>
      <c r="W122" s="3">
        <v>666.82610714285704</v>
      </c>
      <c r="X122" s="3">
        <v>628.33714285714291</v>
      </c>
      <c r="Y122" s="3">
        <v>597.48614285714291</v>
      </c>
      <c r="Z122" s="3">
        <v>560.68660714285704</v>
      </c>
      <c r="BK122" s="18" t="s">
        <v>11</v>
      </c>
      <c r="BL122" s="17">
        <v>12</v>
      </c>
      <c r="BM122" s="18">
        <f t="shared" si="237"/>
        <v>0</v>
      </c>
      <c r="BN122" s="18">
        <f t="shared" si="238"/>
        <v>0</v>
      </c>
      <c r="BO122" s="18">
        <f t="shared" si="239"/>
        <v>0</v>
      </c>
      <c r="BP122" s="18">
        <f t="shared" si="240"/>
        <v>0</v>
      </c>
      <c r="BQ122" s="18">
        <f t="shared" si="241"/>
        <v>0</v>
      </c>
      <c r="BR122" s="18">
        <f t="shared" si="242"/>
        <v>0</v>
      </c>
      <c r="BS122" s="18">
        <f t="shared" si="243"/>
        <v>0</v>
      </c>
      <c r="BT122" s="18">
        <f t="shared" si="244"/>
        <v>0</v>
      </c>
      <c r="BU122" s="18">
        <f t="shared" si="245"/>
        <v>0</v>
      </c>
      <c r="BV122" s="18">
        <f t="shared" si="246"/>
        <v>0</v>
      </c>
      <c r="BW122" s="18">
        <f t="shared" si="247"/>
        <v>0</v>
      </c>
      <c r="BX122" s="18">
        <f t="shared" si="248"/>
        <v>0</v>
      </c>
      <c r="BY122" s="18">
        <f t="shared" si="249"/>
        <v>0</v>
      </c>
      <c r="BZ122" s="18">
        <f t="shared" si="250"/>
        <v>0</v>
      </c>
      <c r="CA122" s="18">
        <f t="shared" si="251"/>
        <v>0</v>
      </c>
      <c r="CB122" s="18">
        <f t="shared" si="252"/>
        <v>0</v>
      </c>
      <c r="CC122" s="18">
        <f t="shared" si="253"/>
        <v>0</v>
      </c>
      <c r="CD122" s="18">
        <f t="shared" si="254"/>
        <v>0</v>
      </c>
      <c r="CE122" s="18">
        <f t="shared" si="255"/>
        <v>0</v>
      </c>
      <c r="CF122" s="18">
        <f t="shared" si="256"/>
        <v>0</v>
      </c>
      <c r="CG122" s="18">
        <f t="shared" si="257"/>
        <v>0</v>
      </c>
      <c r="CH122" s="18">
        <f t="shared" si="258"/>
        <v>0</v>
      </c>
      <c r="CI122" s="18">
        <f t="shared" si="259"/>
        <v>0</v>
      </c>
      <c r="CJ122" s="18">
        <f t="shared" si="260"/>
        <v>0</v>
      </c>
      <c r="CK122" s="18">
        <v>31</v>
      </c>
      <c r="CL122" s="18">
        <f t="shared" si="261"/>
        <v>0</v>
      </c>
      <c r="CM122" s="18">
        <f t="shared" si="262"/>
        <v>0</v>
      </c>
      <c r="CN122" s="18">
        <f t="shared" si="236"/>
        <v>0</v>
      </c>
    </row>
    <row r="123" spans="2:92" x14ac:dyDescent="0.25">
      <c r="C123" s="3">
        <v>579.08483870967746</v>
      </c>
      <c r="D123" s="3">
        <v>548.15658064516117</v>
      </c>
      <c r="E123" s="3">
        <v>544.37306451612903</v>
      </c>
      <c r="F123" s="3">
        <v>582.51948387096786</v>
      </c>
      <c r="G123" s="3">
        <v>667.89206451612893</v>
      </c>
      <c r="H123" s="3">
        <v>774.58219354838707</v>
      </c>
      <c r="I123" s="3">
        <v>802.21977419354835</v>
      </c>
      <c r="J123" s="3">
        <v>843.04922580645166</v>
      </c>
      <c r="K123" s="3">
        <v>964.84687096774212</v>
      </c>
      <c r="L123" s="3">
        <v>1040.0036129032262</v>
      </c>
      <c r="M123" s="3">
        <v>1073.2279354838709</v>
      </c>
      <c r="N123" s="3">
        <v>1095.5873870967744</v>
      </c>
      <c r="O123" s="3">
        <v>1117.3458064516128</v>
      </c>
      <c r="P123" s="3">
        <v>1128.2545483870967</v>
      </c>
      <c r="Q123" s="3">
        <v>1111.5230967741936</v>
      </c>
      <c r="R123" s="3">
        <v>1090.8960000000004</v>
      </c>
      <c r="S123" s="3">
        <v>1046.5052258064516</v>
      </c>
      <c r="T123" s="3">
        <v>996.216580645161</v>
      </c>
      <c r="U123" s="3">
        <v>952.72358064516129</v>
      </c>
      <c r="V123" s="3">
        <v>870.05170967741935</v>
      </c>
      <c r="W123" s="3">
        <v>724.38874193548384</v>
      </c>
      <c r="X123" s="3">
        <v>672.62609677419357</v>
      </c>
      <c r="Y123" s="3">
        <v>638.52412903225797</v>
      </c>
      <c r="Z123" s="3">
        <v>597.76058064516144</v>
      </c>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L123" s="20">
        <f>SUM(CL111:CL122)</f>
        <v>0</v>
      </c>
      <c r="CM123" s="20">
        <f>SUM(CM111:CM122)</f>
        <v>0</v>
      </c>
      <c r="CN123" s="20">
        <f>SUM(CN111:CN122)</f>
        <v>0</v>
      </c>
    </row>
    <row r="124" spans="2:92" x14ac:dyDescent="0.25">
      <c r="C124" s="3">
        <v>532.49636666666675</v>
      </c>
      <c r="D124" s="3">
        <v>515.58550000000002</v>
      </c>
      <c r="E124" s="3">
        <v>490.16576666666663</v>
      </c>
      <c r="F124" s="3">
        <v>493.9269000000001</v>
      </c>
      <c r="G124" s="3">
        <v>521.68763333333334</v>
      </c>
      <c r="H124" s="3">
        <v>594.37513333333334</v>
      </c>
      <c r="I124" s="3">
        <v>668.86439999999993</v>
      </c>
      <c r="J124" s="3">
        <v>691.84349999999972</v>
      </c>
      <c r="K124" s="3">
        <v>722.26550000000009</v>
      </c>
      <c r="L124" s="3">
        <v>800.66189999999995</v>
      </c>
      <c r="M124" s="3">
        <v>833.2440333333335</v>
      </c>
      <c r="N124" s="3">
        <v>840.8504999999999</v>
      </c>
      <c r="O124" s="3">
        <v>847.87783333333334</v>
      </c>
      <c r="P124" s="3">
        <v>852.25063333333333</v>
      </c>
      <c r="Q124" s="3">
        <v>854.7873000000003</v>
      </c>
      <c r="R124" s="3">
        <v>840.44429999999988</v>
      </c>
      <c r="S124" s="3">
        <v>829.00946666666664</v>
      </c>
      <c r="T124" s="3">
        <v>793.29860000000008</v>
      </c>
      <c r="U124" s="3">
        <v>769.48886666666681</v>
      </c>
      <c r="V124" s="3">
        <v>743.40780000000007</v>
      </c>
      <c r="W124" s="3">
        <v>691.37673333333328</v>
      </c>
      <c r="X124" s="3">
        <v>595.91869999999983</v>
      </c>
      <c r="Y124" s="3">
        <v>566.77446666666685</v>
      </c>
      <c r="Z124" s="3">
        <v>544.49916666666661</v>
      </c>
    </row>
    <row r="125" spans="2:92" x14ac:dyDescent="0.25">
      <c r="C125" s="3">
        <v>472.52725806451627</v>
      </c>
      <c r="D125" s="3">
        <v>456.57906451612905</v>
      </c>
      <c r="E125" s="3">
        <v>420.50654838709681</v>
      </c>
      <c r="F125" s="3">
        <v>415.79041935483878</v>
      </c>
      <c r="G125" s="3">
        <v>442.13012903225814</v>
      </c>
      <c r="H125" s="3">
        <v>556.19345161290335</v>
      </c>
      <c r="I125" s="3">
        <v>693.350129032258</v>
      </c>
      <c r="J125" s="3">
        <v>748.93612903225824</v>
      </c>
      <c r="K125" s="3">
        <v>790.22054838709653</v>
      </c>
      <c r="L125" s="3">
        <v>830.84877419354848</v>
      </c>
      <c r="M125" s="3">
        <v>851.08322580645131</v>
      </c>
      <c r="N125" s="3">
        <v>833.55687096774193</v>
      </c>
      <c r="O125" s="3">
        <v>828.65529032258064</v>
      </c>
      <c r="P125" s="3">
        <v>823.78038709677412</v>
      </c>
      <c r="Q125" s="3">
        <v>817.89493548387077</v>
      </c>
      <c r="R125" s="3">
        <v>809.44487096774185</v>
      </c>
      <c r="S125" s="3">
        <v>819.97541935483866</v>
      </c>
      <c r="T125" s="3">
        <v>801.07180645161304</v>
      </c>
      <c r="U125" s="3">
        <v>764.08422580645163</v>
      </c>
      <c r="V125" s="3">
        <v>745.4321935483872</v>
      </c>
      <c r="W125" s="3">
        <v>676.86754838709692</v>
      </c>
      <c r="X125" s="3">
        <v>562.83209677419347</v>
      </c>
      <c r="Y125" s="3">
        <v>526.56161290322586</v>
      </c>
      <c r="Z125" s="3">
        <v>491.66483870967738</v>
      </c>
    </row>
    <row r="126" spans="2:92" x14ac:dyDescent="0.25">
      <c r="C126" s="3">
        <v>484.45813333333331</v>
      </c>
      <c r="D126" s="3">
        <v>471.41373333333337</v>
      </c>
      <c r="E126" s="3">
        <v>433.46859999999987</v>
      </c>
      <c r="F126" s="3">
        <v>432.24409999999989</v>
      </c>
      <c r="G126" s="3">
        <v>453.80993333333328</v>
      </c>
      <c r="H126" s="3">
        <v>574.26359999999988</v>
      </c>
      <c r="I126" s="3">
        <v>736.39996666666696</v>
      </c>
      <c r="J126" s="3">
        <v>804.95089999999982</v>
      </c>
      <c r="K126" s="3">
        <v>873.74159999999995</v>
      </c>
      <c r="L126" s="3">
        <v>920.98086666666677</v>
      </c>
      <c r="M126" s="3">
        <v>929.57650000000035</v>
      </c>
      <c r="N126" s="3">
        <v>899.02320000000009</v>
      </c>
      <c r="O126" s="3">
        <v>882.69560000000013</v>
      </c>
      <c r="P126" s="3">
        <v>868.12793333333343</v>
      </c>
      <c r="Q126" s="3">
        <v>853.46816666666666</v>
      </c>
      <c r="R126" s="3">
        <v>845.61103333333335</v>
      </c>
      <c r="S126" s="3">
        <v>847.05696666666665</v>
      </c>
      <c r="T126" s="3">
        <v>829.38596666666683</v>
      </c>
      <c r="U126" s="3">
        <v>791.50959999999986</v>
      </c>
      <c r="V126" s="3">
        <v>770.83469999999988</v>
      </c>
      <c r="W126" s="3">
        <v>698.0784666666666</v>
      </c>
      <c r="X126" s="3">
        <v>579.80816666666658</v>
      </c>
      <c r="Y126" s="3">
        <v>539.34449999999993</v>
      </c>
      <c r="Z126" s="3">
        <v>504.18459999999999</v>
      </c>
    </row>
    <row r="127" spans="2:92" x14ac:dyDescent="0.25">
      <c r="C127" s="3">
        <v>483.44970967741926</v>
      </c>
      <c r="D127" s="3">
        <v>474.94677419354844</v>
      </c>
      <c r="E127" s="3">
        <v>432.53148387096775</v>
      </c>
      <c r="F127" s="3">
        <v>429.52970967741936</v>
      </c>
      <c r="G127" s="3">
        <v>451.70558064516132</v>
      </c>
      <c r="H127" s="3">
        <v>569.65948387096785</v>
      </c>
      <c r="I127" s="3">
        <v>725.24287096774185</v>
      </c>
      <c r="J127" s="3">
        <v>808.9652903225807</v>
      </c>
      <c r="K127" s="3">
        <v>863.81316129032257</v>
      </c>
      <c r="L127" s="3">
        <v>919.703451612903</v>
      </c>
      <c r="M127" s="3">
        <v>927.6003225806453</v>
      </c>
      <c r="N127" s="3">
        <v>905.04922580645143</v>
      </c>
      <c r="O127" s="3">
        <v>887.45683870967719</v>
      </c>
      <c r="P127" s="3">
        <v>871.55141935483869</v>
      </c>
      <c r="Q127" s="3">
        <v>852.1431935483871</v>
      </c>
      <c r="R127" s="3">
        <v>847.22025806451597</v>
      </c>
      <c r="S127" s="3">
        <v>844.59245161290301</v>
      </c>
      <c r="T127" s="3">
        <v>836.09377419354837</v>
      </c>
      <c r="U127" s="3">
        <v>800.03535483870974</v>
      </c>
      <c r="V127" s="3">
        <v>783.86893548387081</v>
      </c>
      <c r="W127" s="3">
        <v>715.11767741935489</v>
      </c>
      <c r="X127" s="3">
        <v>601.42380645161279</v>
      </c>
      <c r="Y127" s="3">
        <v>546.55219354838721</v>
      </c>
      <c r="Z127" s="3">
        <v>506.60716129032261</v>
      </c>
    </row>
    <row r="128" spans="2:92" x14ac:dyDescent="0.25">
      <c r="C128" s="3">
        <v>497.32412903225804</v>
      </c>
      <c r="D128" s="3">
        <v>485.45374193548389</v>
      </c>
      <c r="E128" s="3">
        <v>443.41941935483874</v>
      </c>
      <c r="F128" s="3">
        <v>444.69170967741945</v>
      </c>
      <c r="G128" s="3">
        <v>470.09106451612894</v>
      </c>
      <c r="H128" s="3">
        <v>586.21877419354848</v>
      </c>
      <c r="I128" s="3">
        <v>761.57677419354854</v>
      </c>
      <c r="J128" s="3">
        <v>834.58361290322568</v>
      </c>
      <c r="K128" s="3">
        <v>860.46912903225814</v>
      </c>
      <c r="L128" s="3">
        <v>915.76577419354851</v>
      </c>
      <c r="M128" s="3">
        <v>925.5571935483872</v>
      </c>
      <c r="N128" s="3">
        <v>901.436709677419</v>
      </c>
      <c r="O128" s="3">
        <v>883.06358064516132</v>
      </c>
      <c r="P128" s="3">
        <v>873.48877419354847</v>
      </c>
      <c r="Q128" s="3">
        <v>865.18135483870958</v>
      </c>
      <c r="R128" s="3">
        <v>849.0006129032256</v>
      </c>
      <c r="S128" s="3">
        <v>843.68719354838709</v>
      </c>
      <c r="T128" s="3">
        <v>825.64767741935498</v>
      </c>
      <c r="U128" s="3">
        <v>811.80661290322575</v>
      </c>
      <c r="V128" s="3">
        <v>796.38422580645147</v>
      </c>
      <c r="W128" s="3">
        <v>719.23777419354838</v>
      </c>
      <c r="X128" s="3">
        <v>600.6986451612903</v>
      </c>
      <c r="Y128" s="3">
        <v>548.58596774193563</v>
      </c>
      <c r="Z128" s="3">
        <v>515.41951612903222</v>
      </c>
    </row>
    <row r="129" spans="2:26" x14ac:dyDescent="0.25">
      <c r="C129" s="3">
        <v>492.44379999999995</v>
      </c>
      <c r="D129" s="3">
        <v>467.73869999999999</v>
      </c>
      <c r="E129" s="3">
        <v>424.56210000000004</v>
      </c>
      <c r="F129" s="3">
        <v>425.78783333333337</v>
      </c>
      <c r="G129" s="3">
        <v>450.58176666666662</v>
      </c>
      <c r="H129" s="3">
        <v>562.3580333333332</v>
      </c>
      <c r="I129" s="3">
        <v>692.51923333333309</v>
      </c>
      <c r="J129" s="3">
        <v>757.71560000000011</v>
      </c>
      <c r="K129" s="3">
        <v>793.32033333333322</v>
      </c>
      <c r="L129" s="3">
        <v>846.55723333333333</v>
      </c>
      <c r="M129" s="3">
        <v>861.35789999999986</v>
      </c>
      <c r="N129" s="3">
        <v>846.65846666666653</v>
      </c>
      <c r="O129" s="3">
        <v>839.35216666666668</v>
      </c>
      <c r="P129" s="3">
        <v>828.67300000000012</v>
      </c>
      <c r="Q129" s="3">
        <v>818.15920000000006</v>
      </c>
      <c r="R129" s="3">
        <v>812.03639999999984</v>
      </c>
      <c r="S129" s="3">
        <v>797.6180999999998</v>
      </c>
      <c r="T129" s="3">
        <v>773.33810000000017</v>
      </c>
      <c r="U129" s="3">
        <v>753.6513666666666</v>
      </c>
      <c r="V129" s="3">
        <v>744.93026666666663</v>
      </c>
      <c r="W129" s="3">
        <v>680.04179999999985</v>
      </c>
      <c r="X129" s="3">
        <v>568.92956666666657</v>
      </c>
      <c r="Y129" s="3">
        <v>529.93843333333336</v>
      </c>
      <c r="Z129" s="3">
        <v>513.50416666666672</v>
      </c>
    </row>
    <row r="130" spans="2:26" x14ac:dyDescent="0.25">
      <c r="C130" s="3">
        <v>489.31761290322578</v>
      </c>
      <c r="D130" s="3">
        <v>457.77641935483882</v>
      </c>
      <c r="E130" s="3">
        <v>457.86425806451621</v>
      </c>
      <c r="F130" s="3">
        <v>482.89687096774185</v>
      </c>
      <c r="G130" s="3">
        <v>570.06216129032259</v>
      </c>
      <c r="H130" s="3">
        <v>694.94493548387084</v>
      </c>
      <c r="I130" s="3">
        <v>752.50351612903228</v>
      </c>
      <c r="J130" s="3">
        <v>799.55890322580638</v>
      </c>
      <c r="K130" s="3">
        <v>857.83758064516144</v>
      </c>
      <c r="L130" s="3">
        <v>875.27232258064521</v>
      </c>
      <c r="M130" s="3">
        <v>865.52416129032281</v>
      </c>
      <c r="N130" s="3">
        <v>863.24135483870975</v>
      </c>
      <c r="O130" s="3">
        <v>863.63329032258082</v>
      </c>
      <c r="P130" s="3">
        <v>865.40090322580636</v>
      </c>
      <c r="Q130" s="3">
        <v>850.28583870967725</v>
      </c>
      <c r="R130" s="3">
        <v>835.12141935483874</v>
      </c>
      <c r="S130" s="3">
        <v>791.65106451612883</v>
      </c>
      <c r="T130" s="3">
        <v>754.36064516129022</v>
      </c>
      <c r="U130" s="3">
        <v>754.2178709677421</v>
      </c>
      <c r="V130" s="3">
        <v>705.41841935483876</v>
      </c>
      <c r="W130" s="3">
        <v>593.25038709677426</v>
      </c>
      <c r="X130" s="3">
        <v>553.66874193548381</v>
      </c>
      <c r="Y130" s="3">
        <v>540.52719354838712</v>
      </c>
      <c r="Z130" s="3">
        <v>518.61406451612902</v>
      </c>
    </row>
    <row r="131" spans="2:26" x14ac:dyDescent="0.25">
      <c r="C131" s="3">
        <v>508.39030000000008</v>
      </c>
      <c r="D131" s="3">
        <v>475.33783333333332</v>
      </c>
      <c r="E131" s="3">
        <v>467.12706666666668</v>
      </c>
      <c r="F131" s="3">
        <v>491.66050000000001</v>
      </c>
      <c r="G131" s="3">
        <v>578.59280000000001</v>
      </c>
      <c r="H131" s="3">
        <v>691.18536666666671</v>
      </c>
      <c r="I131" s="3">
        <v>741.99640000000011</v>
      </c>
      <c r="J131" s="3">
        <v>799.27206666666677</v>
      </c>
      <c r="K131" s="3">
        <v>869.22386666666671</v>
      </c>
      <c r="L131" s="3">
        <v>910.38406666666674</v>
      </c>
      <c r="M131" s="3">
        <v>912.69420000000014</v>
      </c>
      <c r="N131" s="3">
        <v>917.43749999999977</v>
      </c>
      <c r="O131" s="3">
        <v>928.05639999999983</v>
      </c>
      <c r="P131" s="3">
        <v>933.7029666666665</v>
      </c>
      <c r="Q131" s="3">
        <v>921.50786666666659</v>
      </c>
      <c r="R131" s="3">
        <v>911.83573333333322</v>
      </c>
      <c r="S131" s="3">
        <v>860.87783333333357</v>
      </c>
      <c r="T131" s="3">
        <v>800.82396666666671</v>
      </c>
      <c r="U131" s="3">
        <v>775.90563333333318</v>
      </c>
      <c r="V131" s="3">
        <v>723.63766666666675</v>
      </c>
      <c r="W131" s="3">
        <v>604.64376666666669</v>
      </c>
      <c r="X131" s="3">
        <v>574.16676666666683</v>
      </c>
      <c r="Y131" s="3">
        <v>557.86226666666676</v>
      </c>
      <c r="Z131" s="3">
        <v>536.49243333333334</v>
      </c>
    </row>
    <row r="132" spans="2:26" x14ac:dyDescent="0.25">
      <c r="C132" s="3">
        <v>523.00348387096778</v>
      </c>
      <c r="D132" s="3">
        <v>491.04816129032258</v>
      </c>
      <c r="E132" s="3">
        <v>481.44016129032258</v>
      </c>
      <c r="F132" s="3">
        <v>514.23164516129043</v>
      </c>
      <c r="G132" s="3">
        <v>614.0941935483869</v>
      </c>
      <c r="H132" s="3">
        <v>708.52790322580654</v>
      </c>
      <c r="I132" s="3">
        <v>761.15680645161308</v>
      </c>
      <c r="J132" s="3">
        <v>819.09158064516134</v>
      </c>
      <c r="K132" s="3">
        <v>904.02632258064511</v>
      </c>
      <c r="L132" s="3">
        <v>964.7343225806452</v>
      </c>
      <c r="M132" s="3">
        <v>995.92761290322574</v>
      </c>
      <c r="N132" s="3">
        <v>1019.2898064516129</v>
      </c>
      <c r="O132" s="3">
        <v>1034.6216774193549</v>
      </c>
      <c r="P132" s="3">
        <v>1036.8999999999999</v>
      </c>
      <c r="Q132" s="3">
        <v>1025.0830322580646</v>
      </c>
      <c r="R132" s="3">
        <v>995.9165161290324</v>
      </c>
      <c r="S132" s="3">
        <v>944.84316129032266</v>
      </c>
      <c r="T132" s="3">
        <v>864.30645161290352</v>
      </c>
      <c r="U132" s="3">
        <v>817.59303225806457</v>
      </c>
      <c r="V132" s="3">
        <v>750.20661290322573</v>
      </c>
      <c r="W132" s="3">
        <v>615.63296774193554</v>
      </c>
      <c r="X132" s="3">
        <v>568.80403225806447</v>
      </c>
      <c r="Y132" s="3">
        <v>555.75338709677419</v>
      </c>
      <c r="Z132" s="3">
        <v>541.33074193548384</v>
      </c>
    </row>
    <row r="134" spans="2:26" x14ac:dyDescent="0.25">
      <c r="B134" s="3" t="s">
        <v>194</v>
      </c>
      <c r="C134" s="75">
        <f>SUM(C121,C108,C95)</f>
        <v>1520.66656951711</v>
      </c>
      <c r="D134" s="75">
        <f t="shared" ref="D134:Z134" si="263">SUM(D121,D108,D95)</f>
        <v>1492.0119648072291</v>
      </c>
      <c r="E134" s="75">
        <f t="shared" si="263"/>
        <v>1464.7691573745192</v>
      </c>
      <c r="F134" s="75">
        <f t="shared" si="263"/>
        <v>1484.2585772493817</v>
      </c>
      <c r="G134" s="75">
        <f t="shared" si="263"/>
        <v>1583.6374844365807</v>
      </c>
      <c r="H134" s="75">
        <f t="shared" si="263"/>
        <v>973.9307392882539</v>
      </c>
      <c r="I134" s="75">
        <f t="shared" si="263"/>
        <v>787.09931407768215</v>
      </c>
      <c r="J134" s="75">
        <f t="shared" si="263"/>
        <v>849.78795990966466</v>
      </c>
      <c r="K134" s="75">
        <f t="shared" si="263"/>
        <v>968.98939600012955</v>
      </c>
      <c r="L134" s="75">
        <f t="shared" si="263"/>
        <v>1046.3967811291163</v>
      </c>
      <c r="M134" s="75">
        <f t="shared" si="263"/>
        <v>1092.9820234439849</v>
      </c>
      <c r="N134" s="75">
        <f t="shared" si="263"/>
        <v>1118.9018177130793</v>
      </c>
      <c r="O134" s="75">
        <f t="shared" si="263"/>
        <v>1134.8954341766353</v>
      </c>
      <c r="P134" s="75">
        <f t="shared" si="263"/>
        <v>1148.4018200056155</v>
      </c>
      <c r="Q134" s="75">
        <f t="shared" si="263"/>
        <v>1138.9023871926772</v>
      </c>
      <c r="R134" s="75">
        <f t="shared" si="263"/>
        <v>1108.9700387985404</v>
      </c>
      <c r="S134" s="75">
        <f t="shared" si="263"/>
        <v>1056.0029968591141</v>
      </c>
      <c r="T134" s="75">
        <f t="shared" si="263"/>
        <v>977.9706632485495</v>
      </c>
      <c r="U134" s="75">
        <f t="shared" si="263"/>
        <v>920.38104401473845</v>
      </c>
      <c r="V134" s="75">
        <f t="shared" si="263"/>
        <v>1160.974103656604</v>
      </c>
      <c r="W134" s="75">
        <f t="shared" si="263"/>
        <v>1675.8327259215189</v>
      </c>
      <c r="X134" s="75">
        <f t="shared" si="263"/>
        <v>1597.4672143835883</v>
      </c>
      <c r="Y134" s="75">
        <f t="shared" si="263"/>
        <v>1558.6270758986575</v>
      </c>
      <c r="Z134" s="75">
        <f t="shared" si="263"/>
        <v>1539.4588368734326</v>
      </c>
    </row>
    <row r="135" spans="2:26" x14ac:dyDescent="0.25">
      <c r="C135" s="75">
        <f t="shared" ref="C135:Z135" si="264">SUM(C122,C109,C96)</f>
        <v>1533.9272605976807</v>
      </c>
      <c r="D135" s="75">
        <f t="shared" si="264"/>
        <v>1501.7538230565597</v>
      </c>
      <c r="E135" s="75">
        <f t="shared" si="264"/>
        <v>1499.1285484004959</v>
      </c>
      <c r="F135" s="75">
        <f t="shared" si="264"/>
        <v>1532.8758944431861</v>
      </c>
      <c r="G135" s="75">
        <f t="shared" si="264"/>
        <v>1604.1814563214552</v>
      </c>
      <c r="H135" s="75">
        <f t="shared" si="264"/>
        <v>1519.0682995975619</v>
      </c>
      <c r="I135" s="75">
        <f t="shared" si="264"/>
        <v>823.12773708451562</v>
      </c>
      <c r="J135" s="75">
        <f t="shared" si="264"/>
        <v>881.00670569794761</v>
      </c>
      <c r="K135" s="75">
        <f t="shared" si="264"/>
        <v>1000.1881510032197</v>
      </c>
      <c r="L135" s="75">
        <f t="shared" si="264"/>
        <v>1069.9777366357407</v>
      </c>
      <c r="M135" s="75">
        <f t="shared" si="264"/>
        <v>1098.6050693360346</v>
      </c>
      <c r="N135" s="75">
        <f t="shared" si="264"/>
        <v>1128.247260959831</v>
      </c>
      <c r="O135" s="75">
        <f t="shared" si="264"/>
        <v>1158.1553419875374</v>
      </c>
      <c r="P135" s="75">
        <f t="shared" si="264"/>
        <v>1172.437687725951</v>
      </c>
      <c r="Q135" s="75">
        <f t="shared" si="264"/>
        <v>1159.0700366010424</v>
      </c>
      <c r="R135" s="75">
        <f t="shared" si="264"/>
        <v>1159.9757682508407</v>
      </c>
      <c r="S135" s="75">
        <f t="shared" si="264"/>
        <v>1135.2419560691192</v>
      </c>
      <c r="T135" s="75">
        <f t="shared" si="264"/>
        <v>1068.5957073548029</v>
      </c>
      <c r="U135" s="75">
        <f t="shared" si="264"/>
        <v>1050.7793761673511</v>
      </c>
      <c r="V135" s="75">
        <f t="shared" si="264"/>
        <v>1797.6095060434627</v>
      </c>
      <c r="W135" s="75">
        <f t="shared" si="264"/>
        <v>1810.3384821345685</v>
      </c>
      <c r="X135" s="75">
        <f t="shared" si="264"/>
        <v>1706.1899056398679</v>
      </c>
      <c r="Y135" s="75">
        <f t="shared" si="264"/>
        <v>1589.1033245289054</v>
      </c>
      <c r="Z135" s="75">
        <f t="shared" si="264"/>
        <v>1561.5955062108035</v>
      </c>
    </row>
    <row r="136" spans="2:26" x14ac:dyDescent="0.25">
      <c r="C136" s="75">
        <f t="shared" ref="C136:Z136" si="265">SUM(C123,C110,C97)</f>
        <v>1572.4364464733935</v>
      </c>
      <c r="D136" s="75">
        <f t="shared" si="265"/>
        <v>1537.1421823399328</v>
      </c>
      <c r="E136" s="75">
        <f t="shared" si="265"/>
        <v>1531.9118604521536</v>
      </c>
      <c r="F136" s="75">
        <f t="shared" si="265"/>
        <v>1569.6803507164302</v>
      </c>
      <c r="G136" s="75">
        <f t="shared" si="265"/>
        <v>1643.0627878855321</v>
      </c>
      <c r="H136" s="75">
        <f t="shared" si="265"/>
        <v>1749.9632037837218</v>
      </c>
      <c r="I136" s="75">
        <f t="shared" si="265"/>
        <v>1138.6360891902827</v>
      </c>
      <c r="J136" s="75">
        <f t="shared" si="265"/>
        <v>922.46453114908559</v>
      </c>
      <c r="K136" s="75">
        <f t="shared" si="265"/>
        <v>1059.2726781432589</v>
      </c>
      <c r="L136" s="75">
        <f t="shared" si="265"/>
        <v>1130.8700959092841</v>
      </c>
      <c r="M136" s="75">
        <f t="shared" si="265"/>
        <v>1187.6433576159338</v>
      </c>
      <c r="N136" s="75">
        <f t="shared" si="265"/>
        <v>1224.8376152434685</v>
      </c>
      <c r="O136" s="75">
        <f t="shared" si="265"/>
        <v>1260.2371545865822</v>
      </c>
      <c r="P136" s="75">
        <f t="shared" si="265"/>
        <v>1244.823477175727</v>
      </c>
      <c r="Q136" s="75">
        <f t="shared" si="265"/>
        <v>1224.0056867199412</v>
      </c>
      <c r="R136" s="75">
        <f t="shared" si="265"/>
        <v>1207.48796522664</v>
      </c>
      <c r="S136" s="75">
        <f t="shared" si="265"/>
        <v>1210.1064245491127</v>
      </c>
      <c r="T136" s="75">
        <f t="shared" si="265"/>
        <v>1172.1573870588375</v>
      </c>
      <c r="U136" s="75">
        <f t="shared" si="265"/>
        <v>1627.6377955960452</v>
      </c>
      <c r="V136" s="75">
        <f t="shared" si="265"/>
        <v>2190.1252349043643</v>
      </c>
      <c r="W136" s="75">
        <f t="shared" si="265"/>
        <v>1841.8822809720359</v>
      </c>
      <c r="X136" s="75">
        <f t="shared" si="265"/>
        <v>1697.1644714266288</v>
      </c>
      <c r="Y136" s="75">
        <f t="shared" si="265"/>
        <v>1632.7066221388186</v>
      </c>
      <c r="Z136" s="75">
        <f t="shared" si="265"/>
        <v>1593.7083992364578</v>
      </c>
    </row>
    <row r="137" spans="2:26" x14ac:dyDescent="0.25">
      <c r="C137" s="75">
        <f t="shared" ref="C137:Z137" si="266">SUM(C124,C111,C98)</f>
        <v>1494.6946775335368</v>
      </c>
      <c r="D137" s="75">
        <f t="shared" si="266"/>
        <v>1478.2681337175006</v>
      </c>
      <c r="E137" s="75">
        <f t="shared" si="266"/>
        <v>1453.6726589758939</v>
      </c>
      <c r="F137" s="75">
        <f t="shared" si="266"/>
        <v>1454.5768849973865</v>
      </c>
      <c r="G137" s="75">
        <f t="shared" si="266"/>
        <v>1486.5756611151651</v>
      </c>
      <c r="H137" s="75">
        <f t="shared" si="266"/>
        <v>1566.8251001404346</v>
      </c>
      <c r="I137" s="75">
        <f t="shared" si="266"/>
        <v>1428.8679965486549</v>
      </c>
      <c r="J137" s="75">
        <f t="shared" si="266"/>
        <v>753.17067739033212</v>
      </c>
      <c r="K137" s="75">
        <f t="shared" si="266"/>
        <v>784.73470380512981</v>
      </c>
      <c r="L137" s="75">
        <f t="shared" si="266"/>
        <v>875.43615523011078</v>
      </c>
      <c r="M137" s="75">
        <f t="shared" si="266"/>
        <v>919.1823794386703</v>
      </c>
      <c r="N137" s="75">
        <f t="shared" si="266"/>
        <v>910.3044496806084</v>
      </c>
      <c r="O137" s="75">
        <f t="shared" si="266"/>
        <v>925.56094318138253</v>
      </c>
      <c r="P137" s="75">
        <f t="shared" si="266"/>
        <v>944.79378203028136</v>
      </c>
      <c r="Q137" s="75">
        <f t="shared" si="266"/>
        <v>943.97372588767678</v>
      </c>
      <c r="R137" s="75">
        <f t="shared" si="266"/>
        <v>935.43805655410256</v>
      </c>
      <c r="S137" s="75">
        <f t="shared" si="266"/>
        <v>943.05703385117329</v>
      </c>
      <c r="T137" s="75">
        <f t="shared" si="266"/>
        <v>1062.2037531789185</v>
      </c>
      <c r="U137" s="75">
        <f t="shared" si="266"/>
        <v>1771.6956647802576</v>
      </c>
      <c r="V137" s="75">
        <f t="shared" si="266"/>
        <v>1774.0391563363523</v>
      </c>
      <c r="W137" s="75">
        <f t="shared" si="266"/>
        <v>1702.7595810249009</v>
      </c>
      <c r="X137" s="75">
        <f t="shared" si="266"/>
        <v>1595.8819292871779</v>
      </c>
      <c r="Y137" s="75">
        <f t="shared" si="266"/>
        <v>1554.6146922032237</v>
      </c>
      <c r="Z137" s="75">
        <f t="shared" si="266"/>
        <v>1513.8528266488827</v>
      </c>
    </row>
    <row r="138" spans="2:26" x14ac:dyDescent="0.25">
      <c r="C138" s="75">
        <f t="shared" ref="C138:Z138" si="267">SUM(C125,C112,C99)</f>
        <v>1464.8285536062099</v>
      </c>
      <c r="D138" s="75">
        <f t="shared" si="267"/>
        <v>1440.5371439653006</v>
      </c>
      <c r="E138" s="75">
        <f t="shared" si="267"/>
        <v>1400.7703150087</v>
      </c>
      <c r="F138" s="75">
        <f t="shared" si="267"/>
        <v>1396.34726247239</v>
      </c>
      <c r="G138" s="75">
        <f t="shared" si="267"/>
        <v>1422.2944667840111</v>
      </c>
      <c r="H138" s="75">
        <f t="shared" si="267"/>
        <v>1537.2631497374064</v>
      </c>
      <c r="I138" s="75">
        <f t="shared" si="267"/>
        <v>1675.5128545661973</v>
      </c>
      <c r="J138" s="75">
        <f t="shared" si="267"/>
        <v>1021.6737392756622</v>
      </c>
      <c r="K138" s="75">
        <f t="shared" si="267"/>
        <v>857.96270910726525</v>
      </c>
      <c r="L138" s="75">
        <f t="shared" si="267"/>
        <v>903.23832734588825</v>
      </c>
      <c r="M138" s="75">
        <f t="shared" si="267"/>
        <v>923.12868047971165</v>
      </c>
      <c r="N138" s="75">
        <f t="shared" si="267"/>
        <v>909.84661679867236</v>
      </c>
      <c r="O138" s="75">
        <f t="shared" si="267"/>
        <v>904.88383487044109</v>
      </c>
      <c r="P138" s="75">
        <f t="shared" si="267"/>
        <v>904.75974335280068</v>
      </c>
      <c r="Q138" s="75">
        <f t="shared" si="267"/>
        <v>898.25967385239551</v>
      </c>
      <c r="R138" s="75">
        <f t="shared" si="267"/>
        <v>897.38554816104488</v>
      </c>
      <c r="S138" s="75">
        <f t="shared" si="267"/>
        <v>948.79949974941087</v>
      </c>
      <c r="T138" s="75">
        <f t="shared" si="267"/>
        <v>1682.4155724218285</v>
      </c>
      <c r="U138" s="75">
        <f t="shared" si="267"/>
        <v>2291.8503058583378</v>
      </c>
      <c r="V138" s="75">
        <f t="shared" si="267"/>
        <v>2291.647760001073</v>
      </c>
      <c r="W138" s="75">
        <f t="shared" si="267"/>
        <v>2072.1093575275968</v>
      </c>
      <c r="X138" s="75">
        <f t="shared" si="267"/>
        <v>1726.1779706005213</v>
      </c>
      <c r="Y138" s="75">
        <f t="shared" si="267"/>
        <v>1607.8099183364905</v>
      </c>
      <c r="Z138" s="75">
        <f t="shared" si="267"/>
        <v>1498.3140178791859</v>
      </c>
    </row>
    <row r="139" spans="2:26" x14ac:dyDescent="0.25">
      <c r="C139" s="75">
        <f t="shared" ref="C139:Z139" si="268">SUM(C126,C113,C100)</f>
        <v>1495.8969203969668</v>
      </c>
      <c r="D139" s="75">
        <f t="shared" si="268"/>
        <v>1470.6462391325658</v>
      </c>
      <c r="E139" s="75">
        <f t="shared" si="268"/>
        <v>1429.0923435111608</v>
      </c>
      <c r="F139" s="75">
        <f t="shared" si="268"/>
        <v>1426.1378252556647</v>
      </c>
      <c r="G139" s="75">
        <f t="shared" si="268"/>
        <v>1446.4485856466138</v>
      </c>
      <c r="H139" s="75">
        <f t="shared" si="268"/>
        <v>1569.0783726926379</v>
      </c>
      <c r="I139" s="75">
        <f t="shared" si="268"/>
        <v>1732.4498616953892</v>
      </c>
      <c r="J139" s="75">
        <f t="shared" si="268"/>
        <v>1387.7034465507502</v>
      </c>
      <c r="K139" s="75">
        <f t="shared" si="268"/>
        <v>957.1576452093808</v>
      </c>
      <c r="L139" s="75">
        <f t="shared" si="268"/>
        <v>1009.2752490956368</v>
      </c>
      <c r="M139" s="75">
        <f t="shared" si="268"/>
        <v>1017.2838812459381</v>
      </c>
      <c r="N139" s="75">
        <f t="shared" si="268"/>
        <v>987.95176175483221</v>
      </c>
      <c r="O139" s="75">
        <f t="shared" si="268"/>
        <v>972.84107880355771</v>
      </c>
      <c r="P139" s="75">
        <f t="shared" si="268"/>
        <v>958.72042971104349</v>
      </c>
      <c r="Q139" s="75">
        <f t="shared" si="268"/>
        <v>944.87461827402853</v>
      </c>
      <c r="R139" s="75">
        <f t="shared" si="268"/>
        <v>941.25993122579541</v>
      </c>
      <c r="S139" s="75">
        <f t="shared" si="268"/>
        <v>991.99640697757513</v>
      </c>
      <c r="T139" s="75">
        <f t="shared" si="268"/>
        <v>1877.2662092386904</v>
      </c>
      <c r="U139" s="75">
        <f t="shared" si="268"/>
        <v>2266.4498208875402</v>
      </c>
      <c r="V139" s="75">
        <f t="shared" si="268"/>
        <v>2301.1942547194435</v>
      </c>
      <c r="W139" s="75">
        <f t="shared" si="268"/>
        <v>2154.3290371056332</v>
      </c>
      <c r="X139" s="75">
        <f t="shared" si="268"/>
        <v>1791.9867707323365</v>
      </c>
      <c r="Y139" s="75">
        <f t="shared" si="268"/>
        <v>1636.1034003216805</v>
      </c>
      <c r="Z139" s="75">
        <f t="shared" si="268"/>
        <v>1526.696028793089</v>
      </c>
    </row>
    <row r="140" spans="2:26" x14ac:dyDescent="0.25">
      <c r="C140" s="75">
        <f t="shared" ref="C140:Z140" si="269">SUM(C127,C114,C101)</f>
        <v>1473.1255029168574</v>
      </c>
      <c r="D140" s="75">
        <f t="shared" si="269"/>
        <v>1463.561046663945</v>
      </c>
      <c r="E140" s="75">
        <f t="shared" si="269"/>
        <v>1420.1292769660429</v>
      </c>
      <c r="F140" s="75">
        <f t="shared" si="269"/>
        <v>1415.9054873735836</v>
      </c>
      <c r="G140" s="75">
        <f t="shared" si="269"/>
        <v>1436.8777741007443</v>
      </c>
      <c r="H140" s="75">
        <f t="shared" si="269"/>
        <v>1555.3515444052132</v>
      </c>
      <c r="I140" s="75">
        <f t="shared" si="269"/>
        <v>1713.6153900902586</v>
      </c>
      <c r="J140" s="75">
        <f t="shared" si="269"/>
        <v>1350.3532225641318</v>
      </c>
      <c r="K140" s="75">
        <f t="shared" si="269"/>
        <v>944.47599804323897</v>
      </c>
      <c r="L140" s="75">
        <f t="shared" si="269"/>
        <v>1004.2820260602253</v>
      </c>
      <c r="M140" s="75">
        <f t="shared" si="269"/>
        <v>1013.2694348244303</v>
      </c>
      <c r="N140" s="75">
        <f t="shared" si="269"/>
        <v>989.91358359229798</v>
      </c>
      <c r="O140" s="75">
        <f t="shared" si="269"/>
        <v>973.17435784018085</v>
      </c>
      <c r="P140" s="75">
        <f t="shared" si="269"/>
        <v>960.04833655336836</v>
      </c>
      <c r="Q140" s="75">
        <f t="shared" si="269"/>
        <v>945.88059546136287</v>
      </c>
      <c r="R140" s="75">
        <f t="shared" si="269"/>
        <v>950.1750108880824</v>
      </c>
      <c r="S140" s="75">
        <f t="shared" si="269"/>
        <v>990.14766175880652</v>
      </c>
      <c r="T140" s="75">
        <f t="shared" si="269"/>
        <v>1737.3149572579439</v>
      </c>
      <c r="U140" s="75">
        <f t="shared" si="269"/>
        <v>2321.7776551805664</v>
      </c>
      <c r="V140" s="75">
        <f t="shared" si="269"/>
        <v>2304.9006900844247</v>
      </c>
      <c r="W140" s="75">
        <f t="shared" si="269"/>
        <v>1970.2405812577181</v>
      </c>
      <c r="X140" s="75">
        <f t="shared" si="269"/>
        <v>1697.4654569416284</v>
      </c>
      <c r="Y140" s="75">
        <f t="shared" si="269"/>
        <v>1583.9976938042623</v>
      </c>
      <c r="Z140" s="75">
        <f t="shared" si="269"/>
        <v>1501.570408079474</v>
      </c>
    </row>
    <row r="141" spans="2:26" x14ac:dyDescent="0.25">
      <c r="C141" s="75">
        <f t="shared" ref="C141:Z141" si="270">SUM(C128,C115,C102)</f>
        <v>1475.1362435692504</v>
      </c>
      <c r="D141" s="75">
        <f t="shared" si="270"/>
        <v>1461.5336739443576</v>
      </c>
      <c r="E141" s="75">
        <f t="shared" si="270"/>
        <v>1418.7643938746685</v>
      </c>
      <c r="F141" s="75">
        <f t="shared" si="270"/>
        <v>1418.3844779379635</v>
      </c>
      <c r="G141" s="75">
        <f t="shared" si="270"/>
        <v>1442.7804916251357</v>
      </c>
      <c r="H141" s="75">
        <f t="shared" si="270"/>
        <v>1559.4497295094952</v>
      </c>
      <c r="I141" s="75">
        <f t="shared" si="270"/>
        <v>1675.5758333967531</v>
      </c>
      <c r="J141" s="75">
        <f t="shared" si="270"/>
        <v>988.50227964041596</v>
      </c>
      <c r="K141" s="75">
        <f t="shared" si="270"/>
        <v>929.49513134755421</v>
      </c>
      <c r="L141" s="75">
        <f t="shared" si="270"/>
        <v>989.51102887450793</v>
      </c>
      <c r="M141" s="75">
        <f t="shared" si="270"/>
        <v>1001.3850536533893</v>
      </c>
      <c r="N141" s="75">
        <f t="shared" si="270"/>
        <v>980.42808583480291</v>
      </c>
      <c r="O141" s="75">
        <f t="shared" si="270"/>
        <v>963.75082914581913</v>
      </c>
      <c r="P141" s="75">
        <f t="shared" si="270"/>
        <v>951.42392251643639</v>
      </c>
      <c r="Q141" s="75">
        <f t="shared" si="270"/>
        <v>945.5820595646461</v>
      </c>
      <c r="R141" s="75">
        <f t="shared" si="270"/>
        <v>932.01691831604001</v>
      </c>
      <c r="S141" s="75">
        <f t="shared" si="270"/>
        <v>964.49159946486941</v>
      </c>
      <c r="T141" s="75">
        <f t="shared" si="270"/>
        <v>1232.4035656250496</v>
      </c>
      <c r="U141" s="75">
        <f t="shared" si="270"/>
        <v>2278.1594121147168</v>
      </c>
      <c r="V141" s="75">
        <f t="shared" si="270"/>
        <v>2300.1741504938718</v>
      </c>
      <c r="W141" s="75">
        <f t="shared" si="270"/>
        <v>2005.8531793098759</v>
      </c>
      <c r="X141" s="75">
        <f t="shared" si="270"/>
        <v>1680.5647273099441</v>
      </c>
      <c r="Y141" s="75">
        <f t="shared" si="270"/>
        <v>1588.2605529679106</v>
      </c>
      <c r="Z141" s="75">
        <f t="shared" si="270"/>
        <v>1500.5652439318847</v>
      </c>
    </row>
    <row r="142" spans="2:26" x14ac:dyDescent="0.25">
      <c r="C142" s="75">
        <f t="shared" ref="C142:Z142" si="271">SUM(C129,C116,C103)</f>
        <v>1467.9988706951333</v>
      </c>
      <c r="D142" s="75">
        <f t="shared" si="271"/>
        <v>1441.9558403604269</v>
      </c>
      <c r="E142" s="75">
        <f t="shared" si="271"/>
        <v>1397.9322433144662</v>
      </c>
      <c r="F142" s="75">
        <f t="shared" si="271"/>
        <v>1397.5599104096782</v>
      </c>
      <c r="G142" s="75">
        <f t="shared" si="271"/>
        <v>1421.0678607144027</v>
      </c>
      <c r="H142" s="75">
        <f t="shared" si="271"/>
        <v>1530.1032097276877</v>
      </c>
      <c r="I142" s="75">
        <f t="shared" si="271"/>
        <v>1030.2772441963764</v>
      </c>
      <c r="J142" s="75">
        <f t="shared" si="271"/>
        <v>811.15341292350195</v>
      </c>
      <c r="K142" s="75">
        <f t="shared" si="271"/>
        <v>851.99560478828039</v>
      </c>
      <c r="L142" s="75">
        <f t="shared" si="271"/>
        <v>906.13372091090935</v>
      </c>
      <c r="M142" s="75">
        <f t="shared" si="271"/>
        <v>920.49816869433153</v>
      </c>
      <c r="N142" s="75">
        <f t="shared" si="271"/>
        <v>904.84479652246682</v>
      </c>
      <c r="O142" s="75">
        <f t="shared" si="271"/>
        <v>902.24785652917467</v>
      </c>
      <c r="P142" s="75">
        <f t="shared" si="271"/>
        <v>894.62562451394103</v>
      </c>
      <c r="Q142" s="75">
        <f t="shared" si="271"/>
        <v>884.29671449508032</v>
      </c>
      <c r="R142" s="75">
        <f t="shared" si="271"/>
        <v>885.16888852525813</v>
      </c>
      <c r="S142" s="75">
        <f t="shared" si="271"/>
        <v>887.94505594170846</v>
      </c>
      <c r="T142" s="75">
        <f t="shared" si="271"/>
        <v>890.0247219360823</v>
      </c>
      <c r="U142" s="75">
        <f t="shared" si="271"/>
        <v>1728.3891970676018</v>
      </c>
      <c r="V142" s="75">
        <f t="shared" si="271"/>
        <v>1922.5544281119842</v>
      </c>
      <c r="W142" s="75">
        <f t="shared" si="271"/>
        <v>1814.4597241895262</v>
      </c>
      <c r="X142" s="75">
        <f t="shared" si="271"/>
        <v>1589.5507883677537</v>
      </c>
      <c r="Y142" s="75">
        <f t="shared" si="271"/>
        <v>1515.8058390687295</v>
      </c>
      <c r="Z142" s="75">
        <f t="shared" si="271"/>
        <v>1492.3635927435166</v>
      </c>
    </row>
    <row r="143" spans="2:26" x14ac:dyDescent="0.25">
      <c r="C143" s="75">
        <f t="shared" ref="C143:Z143" si="272">SUM(C130,C117,C104)</f>
        <v>1467.4199702950368</v>
      </c>
      <c r="D143" s="75">
        <f t="shared" si="272"/>
        <v>1428.5238461799449</v>
      </c>
      <c r="E143" s="75">
        <f t="shared" si="272"/>
        <v>1424.1487922659096</v>
      </c>
      <c r="F143" s="75">
        <f t="shared" si="272"/>
        <v>1448.2442144077806</v>
      </c>
      <c r="G143" s="75">
        <f t="shared" si="272"/>
        <v>1536.872615941121</v>
      </c>
      <c r="H143" s="75">
        <f t="shared" si="272"/>
        <v>1240.834490487847</v>
      </c>
      <c r="I143" s="75">
        <f t="shared" si="272"/>
        <v>800.03292792826392</v>
      </c>
      <c r="J143" s="75">
        <f t="shared" si="272"/>
        <v>849.96364094686498</v>
      </c>
      <c r="K143" s="75">
        <f t="shared" si="272"/>
        <v>913.05178904237437</v>
      </c>
      <c r="L143" s="75">
        <f t="shared" si="272"/>
        <v>937.3770234639411</v>
      </c>
      <c r="M143" s="75">
        <f t="shared" si="272"/>
        <v>931.73961276424268</v>
      </c>
      <c r="N143" s="75">
        <f t="shared" si="272"/>
        <v>929.10239301056083</v>
      </c>
      <c r="O143" s="75">
        <f t="shared" si="272"/>
        <v>932.34524266851736</v>
      </c>
      <c r="P143" s="75">
        <f t="shared" si="272"/>
        <v>930.85684993989003</v>
      </c>
      <c r="Q143" s="75">
        <f t="shared" si="272"/>
        <v>914.5584142203943</v>
      </c>
      <c r="R143" s="75">
        <f t="shared" si="272"/>
        <v>897.87649617866612</v>
      </c>
      <c r="S143" s="75">
        <f t="shared" si="272"/>
        <v>869.57259526474854</v>
      </c>
      <c r="T143" s="75">
        <f t="shared" si="272"/>
        <v>918.44434923624692</v>
      </c>
      <c r="U143" s="75">
        <f t="shared" si="272"/>
        <v>1415.6413000741879</v>
      </c>
      <c r="V143" s="75">
        <f t="shared" si="272"/>
        <v>1923.2387685858926</v>
      </c>
      <c r="W143" s="75">
        <f t="shared" si="272"/>
        <v>1676.5056613765598</v>
      </c>
      <c r="X143" s="75">
        <f t="shared" si="272"/>
        <v>1537.4083608993969</v>
      </c>
      <c r="Y143" s="75">
        <f t="shared" si="272"/>
        <v>1516.8042639590735</v>
      </c>
      <c r="Z143" s="75">
        <f t="shared" si="272"/>
        <v>1499.7648285516054</v>
      </c>
    </row>
    <row r="144" spans="2:26" x14ac:dyDescent="0.25">
      <c r="C144" s="75">
        <f t="shared" ref="C144:Z144" si="273">SUM(C131,C118,C105)</f>
        <v>1476.231964087712</v>
      </c>
      <c r="D144" s="75">
        <f t="shared" si="273"/>
        <v>1433.1980758727072</v>
      </c>
      <c r="E144" s="75">
        <f t="shared" si="273"/>
        <v>1419.0237268741294</v>
      </c>
      <c r="F144" s="75">
        <f t="shared" si="273"/>
        <v>1443.0965016356226</v>
      </c>
      <c r="G144" s="75">
        <f t="shared" si="273"/>
        <v>1479.5263758145261</v>
      </c>
      <c r="H144" s="75">
        <f t="shared" si="273"/>
        <v>761.23236007988783</v>
      </c>
      <c r="I144" s="75">
        <f t="shared" si="273"/>
        <v>776.38018704523654</v>
      </c>
      <c r="J144" s="75">
        <f t="shared" si="273"/>
        <v>831.91055805746828</v>
      </c>
      <c r="K144" s="75">
        <f t="shared" si="273"/>
        <v>904.35013115061508</v>
      </c>
      <c r="L144" s="75">
        <f t="shared" si="273"/>
        <v>945.77089754975282</v>
      </c>
      <c r="M144" s="75">
        <f t="shared" si="273"/>
        <v>950.54087623727355</v>
      </c>
      <c r="N144" s="75">
        <f t="shared" si="273"/>
        <v>955.24331807732096</v>
      </c>
      <c r="O144" s="75">
        <f t="shared" si="273"/>
        <v>966.22737929108325</v>
      </c>
      <c r="P144" s="75">
        <f t="shared" si="273"/>
        <v>972.76961750730607</v>
      </c>
      <c r="Q144" s="75">
        <f t="shared" si="273"/>
        <v>961.2757062903429</v>
      </c>
      <c r="R144" s="75">
        <f t="shared" si="273"/>
        <v>952.10423907162101</v>
      </c>
      <c r="S144" s="75">
        <f t="shared" si="273"/>
        <v>905.09766415970671</v>
      </c>
      <c r="T144" s="75">
        <f t="shared" si="273"/>
        <v>863.34752958895024</v>
      </c>
      <c r="U144" s="75">
        <f t="shared" si="273"/>
        <v>846.50282115269681</v>
      </c>
      <c r="V144" s="75">
        <f t="shared" si="273"/>
        <v>1543.079461817355</v>
      </c>
      <c r="W144" s="75">
        <f t="shared" si="273"/>
        <v>1572.4732861174562</v>
      </c>
      <c r="X144" s="75">
        <f t="shared" si="273"/>
        <v>1555.9543982670316</v>
      </c>
      <c r="Y144" s="75">
        <f t="shared" si="273"/>
        <v>1533.3470155633436</v>
      </c>
      <c r="Z144" s="75">
        <f t="shared" si="273"/>
        <v>1512.7691095821224</v>
      </c>
    </row>
    <row r="145" spans="3:26" x14ac:dyDescent="0.25">
      <c r="C145" s="75">
        <f t="shared" ref="C145:Z145" si="274">SUM(C132,C119,C106)</f>
        <v>1491.1924207084592</v>
      </c>
      <c r="D145" s="75">
        <f t="shared" si="274"/>
        <v>1454.8999735632397</v>
      </c>
      <c r="E145" s="75">
        <f t="shared" si="274"/>
        <v>1437.4974332724191</v>
      </c>
      <c r="F145" s="75">
        <f t="shared" si="274"/>
        <v>1464.7114188029032</v>
      </c>
      <c r="G145" s="75">
        <f t="shared" si="274"/>
        <v>1450.1823732742162</v>
      </c>
      <c r="H145" s="75">
        <f t="shared" si="274"/>
        <v>739.47168701957628</v>
      </c>
      <c r="I145" s="75">
        <f t="shared" si="274"/>
        <v>802.66256742540668</v>
      </c>
      <c r="J145" s="75">
        <f t="shared" si="274"/>
        <v>853.39837318377124</v>
      </c>
      <c r="K145" s="75">
        <f t="shared" si="274"/>
        <v>939.58614776846525</v>
      </c>
      <c r="L145" s="75">
        <f t="shared" si="274"/>
        <v>1003.7203479796422</v>
      </c>
      <c r="M145" s="75">
        <f t="shared" si="274"/>
        <v>1034.9231299472951</v>
      </c>
      <c r="N145" s="75">
        <f t="shared" si="274"/>
        <v>1057.5450730720929</v>
      </c>
      <c r="O145" s="75">
        <f t="shared" si="274"/>
        <v>1074.2567762304825</v>
      </c>
      <c r="P145" s="75">
        <f t="shared" si="274"/>
        <v>1078.2910054321217</v>
      </c>
      <c r="Q145" s="75">
        <f t="shared" si="274"/>
        <v>1069.6656120690216</v>
      </c>
      <c r="R145" s="75">
        <f t="shared" si="274"/>
        <v>1044.7292901729074</v>
      </c>
      <c r="S145" s="75">
        <f t="shared" si="274"/>
        <v>999.88277813291415</v>
      </c>
      <c r="T145" s="75">
        <f t="shared" si="274"/>
        <v>918.58752239662647</v>
      </c>
      <c r="U145" s="75">
        <f t="shared" si="274"/>
        <v>872.13031722107553</v>
      </c>
      <c r="V145" s="75">
        <f t="shared" si="274"/>
        <v>1151.5347381839656</v>
      </c>
      <c r="W145" s="75">
        <f t="shared" si="274"/>
        <v>1582.8462779269103</v>
      </c>
      <c r="X145" s="75">
        <f t="shared" si="274"/>
        <v>1561.7900545053781</v>
      </c>
      <c r="Y145" s="75">
        <f t="shared" si="274"/>
        <v>1541.8603986863441</v>
      </c>
      <c r="Z145" s="75">
        <f t="shared" si="274"/>
        <v>1523.4705144970321</v>
      </c>
    </row>
    <row r="146" spans="3:26" x14ac:dyDescent="0.2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spans="3:26" x14ac:dyDescent="0.2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3:26" x14ac:dyDescent="0.2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spans="3:26" x14ac:dyDescent="0.2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3:26" x14ac:dyDescent="0.2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3:26" x14ac:dyDescent="0.2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spans="3:26" x14ac:dyDescent="0.2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spans="3:26" x14ac:dyDescent="0.2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sheetData>
  <sheetProtection selectLockedCells="1" selectUnlockedCells="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36"/>
  <sheetViews>
    <sheetView zoomScale="70" zoomScaleNormal="70" workbookViewId="0">
      <selection activeCell="O2" sqref="O2"/>
    </sheetView>
  </sheetViews>
  <sheetFormatPr defaultRowHeight="15" x14ac:dyDescent="0.25"/>
  <cols>
    <col min="1" max="1" width="4.42578125" bestFit="1" customWidth="1"/>
    <col min="2" max="2" width="11.42578125" style="1" bestFit="1" customWidth="1"/>
    <col min="3" max="3" width="12.42578125" customWidth="1"/>
    <col min="4" max="4" width="14.140625" customWidth="1"/>
    <col min="5" max="5" width="11.42578125" customWidth="1"/>
    <col min="6" max="6" width="8.140625" customWidth="1"/>
    <col min="7" max="7" width="9.42578125" bestFit="1" customWidth="1"/>
    <col min="8" max="8" width="12.140625" bestFit="1" customWidth="1"/>
    <col min="9" max="9" width="13.42578125" bestFit="1" customWidth="1"/>
    <col min="10" max="10" width="13" bestFit="1" customWidth="1"/>
    <col min="11" max="11" width="15.140625" customWidth="1"/>
    <col min="12" max="12" width="14.85546875" style="1" bestFit="1" customWidth="1"/>
    <col min="13" max="13" width="8.28515625" style="1" customWidth="1"/>
    <col min="14" max="14" width="12.42578125" bestFit="1" customWidth="1"/>
    <col min="15" max="15" width="10.85546875" bestFit="1" customWidth="1"/>
    <col min="16" max="16" width="13.140625" bestFit="1" customWidth="1"/>
    <col min="17" max="17" width="14.85546875" bestFit="1" customWidth="1"/>
    <col min="18" max="18" width="7.28515625" style="1" customWidth="1"/>
    <col min="19" max="19" width="13.85546875" style="1" bestFit="1" customWidth="1"/>
    <col min="20" max="20" width="20" bestFit="1" customWidth="1"/>
    <col min="21" max="21" width="21.5703125" bestFit="1" customWidth="1"/>
  </cols>
  <sheetData>
    <row r="1" spans="1:21" x14ac:dyDescent="0.25">
      <c r="F1" t="e">
        <f>'Summary Sheet'!B33:C33</f>
        <v>#VALUE!</v>
      </c>
      <c r="M1" s="1" t="s">
        <v>189</v>
      </c>
      <c r="O1">
        <f>VLOOKUP('Summary Sheet'!U30,A6:P36,16)</f>
        <v>5.8011210057884455E-8</v>
      </c>
    </row>
    <row r="2" spans="1:21" x14ac:dyDescent="0.25">
      <c r="H2" s="42"/>
      <c r="I2" s="69">
        <f>$I$7*(1-'Summary Sheet'!$B$17)^Sheet1!$A7*(1+'Summary Sheet'!$B$34)^$A7</f>
        <v>1017528.5895622767</v>
      </c>
    </row>
    <row r="3" spans="1:21" x14ac:dyDescent="0.25">
      <c r="I3" s="69">
        <f>$I$7*(1-'Summary Sheet'!$B$17)^Sheet1!$A8*(1+'Summary Sheet'!$B$34)^$A8</f>
        <v>1046863.9387993572</v>
      </c>
      <c r="N3" t="s">
        <v>190</v>
      </c>
    </row>
    <row r="4" spans="1:21" x14ac:dyDescent="0.25">
      <c r="I4" s="69">
        <f>$I$7*(1-'Summary Sheet'!$B$17)^Sheet1!$A9*(1+'Summary Sheet'!$B$34)^$A9</f>
        <v>1077045.0261549428</v>
      </c>
      <c r="N4" s="178" t="s">
        <v>108</v>
      </c>
      <c r="O4" s="179"/>
      <c r="P4" s="179"/>
      <c r="Q4" s="179"/>
    </row>
    <row r="5" spans="1:21" x14ac:dyDescent="0.25">
      <c r="A5" s="12" t="s">
        <v>18</v>
      </c>
      <c r="B5" s="12" t="s">
        <v>250</v>
      </c>
      <c r="C5" s="12" t="s">
        <v>94</v>
      </c>
      <c r="D5" s="12" t="s">
        <v>95</v>
      </c>
      <c r="E5" s="12" t="s">
        <v>37</v>
      </c>
      <c r="F5" s="12" t="s">
        <v>96</v>
      </c>
      <c r="G5" s="12" t="s">
        <v>97</v>
      </c>
      <c r="H5" s="12" t="s">
        <v>98</v>
      </c>
      <c r="I5" s="12" t="s">
        <v>99</v>
      </c>
      <c r="J5" s="12" t="s">
        <v>100</v>
      </c>
      <c r="K5" s="12" t="s">
        <v>104</v>
      </c>
      <c r="L5" s="12" t="s">
        <v>101</v>
      </c>
      <c r="M5" s="12"/>
      <c r="N5" s="12" t="s">
        <v>102</v>
      </c>
      <c r="O5" s="12" t="s">
        <v>74</v>
      </c>
      <c r="P5" s="12" t="s">
        <v>103</v>
      </c>
      <c r="Q5" s="12" t="s">
        <v>101</v>
      </c>
      <c r="R5" s="12"/>
      <c r="S5" s="12" t="s">
        <v>115</v>
      </c>
      <c r="T5" s="12" t="s">
        <v>113</v>
      </c>
      <c r="U5" s="12" t="s">
        <v>114</v>
      </c>
    </row>
    <row r="6" spans="1:21" x14ac:dyDescent="0.25">
      <c r="A6" s="26">
        <v>0</v>
      </c>
      <c r="B6" s="124">
        <v>1</v>
      </c>
      <c r="C6" s="26">
        <v>0</v>
      </c>
      <c r="D6" s="26">
        <v>0</v>
      </c>
      <c r="E6" s="26">
        <v>0</v>
      </c>
      <c r="F6" s="27">
        <f>'Summary Sheet'!B23</f>
        <v>5.8340229421728569E-2</v>
      </c>
      <c r="G6" s="27">
        <f>'Summary Sheet'!B24</f>
        <v>3.7883944540492251E-2</v>
      </c>
      <c r="H6" s="28">
        <f>IF('Summary Sheet'!$B$31="N",'Summary Sheet'!$B$32,IF('Summary Sheet'!$U$20="Y",Working!$CN$123/(Working!$CN$107+0.000000000000001),Working!$BI$107/(Working!$BI$59+0.0000000001)))</f>
        <v>6.7006446848358464E-2</v>
      </c>
      <c r="I6" s="29">
        <v>0</v>
      </c>
      <c r="J6" s="29">
        <v>0</v>
      </c>
      <c r="K6" s="29"/>
      <c r="L6" s="34">
        <f>-'Summary Sheet'!N6</f>
        <v>-19500000</v>
      </c>
      <c r="M6" s="40"/>
      <c r="N6" s="29"/>
      <c r="O6" s="29"/>
      <c r="P6" s="30">
        <f>'Summary Sheet'!$N$6*(1-'Summary Sheet'!$U$29)</f>
        <v>19500000</v>
      </c>
      <c r="Q6" s="34">
        <f>IF('Summary Sheet'!$U$28="Y",-'Summary Sheet'!$N$6*'Summary Sheet'!$U$29,Sheet1!L6)</f>
        <v>-19500000</v>
      </c>
      <c r="R6" s="40"/>
      <c r="S6" s="30">
        <f>Q6</f>
        <v>-19500000</v>
      </c>
      <c r="T6" s="29">
        <f>Q6*(1-'Summary Sheet'!$U$26)^(Sheet1!A6)</f>
        <v>-19500000</v>
      </c>
      <c r="U6" s="30">
        <f>T6</f>
        <v>-19500000</v>
      </c>
    </row>
    <row r="7" spans="1:21" x14ac:dyDescent="0.25">
      <c r="A7" s="26">
        <v>1</v>
      </c>
      <c r="B7" s="124">
        <v>0.39999999999999991</v>
      </c>
      <c r="C7" s="26">
        <f>IF(A7&lt;='Summary Sheet'!$U$27,Working!BG43+Working!CL59,0)</f>
        <v>2660238.7773175733</v>
      </c>
      <c r="D7" s="26">
        <f>Working!BH43+Working!CM59</f>
        <v>1091577.7256470297</v>
      </c>
      <c r="E7" s="26">
        <f>IF('Summary Sheet'!U20="Y",Working!CN107,Working!BI59)</f>
        <v>7609525.6266353969</v>
      </c>
      <c r="F7" s="27">
        <f>IF('Summary Sheet'!$B$33=Working!$R$2,F6*(1+'Summary Sheet'!$B$34),F$6*(1+$B7))</f>
        <v>8.1676321190419995E-2</v>
      </c>
      <c r="G7" s="27">
        <f>IF('Summary Sheet'!$B$33=Working!$R$2,G6*(1+'Summary Sheet'!$B$34),G$6*(1+$B7))</f>
        <v>5.3037522356689147E-2</v>
      </c>
      <c r="H7" s="27">
        <f>IF('Summary Sheet'!$B$33=Working!$R$2,H6*(1+'Summary Sheet'!$B$34),H$6*(1+$B7))</f>
        <v>9.380902558770185E-2</v>
      </c>
      <c r="I7" s="30">
        <f>IF(A7&lt;='Summary Sheet'!$U$27,F7*C7+D7*G7+E7*H7,0)</f>
        <v>989015.2790667814</v>
      </c>
      <c r="J7" s="30">
        <f>IF(A7&lt;='Summary Sheet'!$U$27,-'Summary Sheet'!$B$15*'Summary Sheet'!$B$18*(1+'Summary Sheet'!$B$19)^A6,0)</f>
        <v>-156000</v>
      </c>
      <c r="K7" s="30">
        <f>IF('Summary Sheet'!$U$12=Working!$A$4,IF(A7&lt;='Summary Sheet'!$U$15,(Working!$BN$4*(1-'Summary Sheet'!$B$17)^(Sheet1!A6)*'Summary Sheet'!$U$13/1000)*'Summary Sheet'!$U$16*(1+'Summary Sheet'!$U$14)^-Sheet1!$A7,0),0)</f>
        <v>865626.06701714289</v>
      </c>
      <c r="L7" s="30">
        <f>SUM(I7:K7)</f>
        <v>1698641.3460839242</v>
      </c>
      <c r="M7" s="41"/>
      <c r="N7" s="30">
        <f>IF(A7&lt;='Summary Sheet'!$U$30,'Summary Sheet'!$N$6*(1-'Summary Sheet'!$U$29)/(((1-(1+'Summary Sheet'!$U$31)^-('Summary Sheet'!$U$30+'Summary Sheet'!$U$32)))/('Summary Sheet'!$U$31)),IF(A7&lt;='Summary Sheet'!$U$30+'Summary Sheet'!$U$32,$O$1*(1)/(((1-(1+'Summary Sheet'!$U$33)^-'Summary Sheet'!$U$32))/('Summary Sheet'!$U$33)),0))</f>
        <v>1244278.3573409365</v>
      </c>
      <c r="O7" s="30">
        <f>IF(A7&lt;='Summary Sheet'!$U$30,P6*'Summary Sheet'!$U$31,IF(A7&lt;='Summary Sheet'!$U$32+'Summary Sheet'!$U$30,Sheet1!P6*'Summary Sheet'!$U$33,0))</f>
        <v>774150</v>
      </c>
      <c r="P7" s="30">
        <f>IF(A7&lt;='Summary Sheet'!$U$30+'Summary Sheet'!$U$32,P6-N7+O7,0)</f>
        <v>19029871.642659064</v>
      </c>
      <c r="Q7" s="30">
        <f>IF('Summary Sheet'!$U$28="Y",SUM(I7:K7,-N7),Sheet1!L7)</f>
        <v>1698641.3460839242</v>
      </c>
      <c r="R7" s="41"/>
      <c r="S7" s="30">
        <f>S6+Q7</f>
        <v>-17801358.653916076</v>
      </c>
      <c r="T7" s="30">
        <f>Q7/(1+'Summary Sheet'!$U$26)^(Sheet1!A7)</f>
        <v>1625494.111085095</v>
      </c>
      <c r="U7" s="30">
        <f t="shared" ref="U7:U36" si="0">U6+T7</f>
        <v>-17874505.888914905</v>
      </c>
    </row>
    <row r="8" spans="1:21" x14ac:dyDescent="0.25">
      <c r="A8" s="26">
        <v>2</v>
      </c>
      <c r="B8" s="124">
        <v>1.1000000000000001</v>
      </c>
      <c r="C8" s="26">
        <f>IF($A8&lt;='Summary Sheet'!$U$27,C$7*(1-'Summary Sheet'!$B$17)^Sheet1!$A7,0)</f>
        <v>2646937.5834309855</v>
      </c>
      <c r="D8" s="26">
        <f>IF($A8&lt;='Summary Sheet'!$U$27,D$7*(1-'Summary Sheet'!$B$17)^Sheet1!$A7,0)</f>
        <v>1086119.8370187946</v>
      </c>
      <c r="E8" s="26">
        <f>IF($A8&lt;='Summary Sheet'!$U$27,E$7*(1-'Summary Sheet'!$B$17)^Sheet1!$A7,0)</f>
        <v>7571477.99850222</v>
      </c>
      <c r="F8" s="27">
        <f>IF('Summary Sheet'!$B$33=Working!$R$2,F7*(1+'Summary Sheet'!$B$34),F$6*(1+$B8))</f>
        <v>0.12251448178563</v>
      </c>
      <c r="G8" s="27">
        <f>IF('Summary Sheet'!$B$33=Working!$R$2,G7*(1+'Summary Sheet'!$B$34),G$6*(1+$B8))</f>
        <v>7.9556283535033731E-2</v>
      </c>
      <c r="H8" s="27">
        <f>IF('Summary Sheet'!$B$33=Working!$R$2,H7*(1+'Summary Sheet'!$B$34),H$6*(1+$B8))</f>
        <v>0.14071353838155279</v>
      </c>
      <c r="I8" s="30">
        <f>IF(A8&lt;='Summary Sheet'!$U$27,F8*C8+D8*G8+E8*H8,0)</f>
        <v>1476105.3040071714</v>
      </c>
      <c r="J8" s="30">
        <f>IF(A8&lt;='Summary Sheet'!$U$27,-'Summary Sheet'!$B$15*'Summary Sheet'!$B$18*(1+'Summary Sheet'!$B$19)^A7,0)</f>
        <v>-159900</v>
      </c>
      <c r="K8" s="30">
        <f>IF('Summary Sheet'!$U$12=Working!$A$4,IF(A8&lt;='Summary Sheet'!$U$15,(Working!$BN$4*(1-'Summary Sheet'!$B$17)^(Sheet1!A7)*'Summary Sheet'!$U$13/1000)*'Summary Sheet'!$U$16*(1+'Summary Sheet'!$U$14)^-Sheet1!$A8,0),0)</f>
        <v>820283.74922100687</v>
      </c>
      <c r="L8" s="30">
        <f t="shared" ref="L8:L36" si="1">SUM(I8:K8)</f>
        <v>2136489.0532281781</v>
      </c>
      <c r="M8" s="41"/>
      <c r="N8" s="30">
        <f>IF(A8&lt;='Summary Sheet'!$U$30,'Summary Sheet'!$N$6*(1-'Summary Sheet'!$U$29)/(((1-(1+'Summary Sheet'!$U$31)^-('Summary Sheet'!$U$30+'Summary Sheet'!$U$32)))/('Summary Sheet'!$U$31)),IF(A8&lt;='Summary Sheet'!$U$30+'Summary Sheet'!$U$32,$O$1*(1)/(((1-(1+'Summary Sheet'!$U$33)^-'Summary Sheet'!$U$32))/('Summary Sheet'!$U$33)),0))</f>
        <v>1244278.3573409365</v>
      </c>
      <c r="O8" s="30">
        <f>IF(A8&lt;='Summary Sheet'!$U$30,P7*'Summary Sheet'!$U$31,IF(A8&lt;='Summary Sheet'!$U$32+'Summary Sheet'!$U$30,Sheet1!P7*'Summary Sheet'!$U$33,0))</f>
        <v>755485.90421356482</v>
      </c>
      <c r="P8" s="30">
        <f>IF(A8&lt;='Summary Sheet'!$U$30+'Summary Sheet'!$U$32,P7-N8+O8,0)</f>
        <v>18541079.189531695</v>
      </c>
      <c r="Q8" s="30">
        <f>IF('Summary Sheet'!$U$28="Y",SUM(I8:K8,-N8),Sheet1!L8)</f>
        <v>2136489.0532281781</v>
      </c>
      <c r="R8" s="41"/>
      <c r="S8" s="30">
        <f t="shared" ref="S8:S36" si="2">S7+Q8</f>
        <v>-15664869.600687899</v>
      </c>
      <c r="T8" s="30">
        <f>Q8/(1+'Summary Sheet'!$U$26)^(Sheet1!A8)</f>
        <v>1956447.0165318362</v>
      </c>
      <c r="U8" s="30">
        <f t="shared" si="0"/>
        <v>-15918058.872383069</v>
      </c>
    </row>
    <row r="9" spans="1:21" x14ac:dyDescent="0.25">
      <c r="A9" s="26">
        <v>3</v>
      </c>
      <c r="B9" s="124">
        <v>1.4</v>
      </c>
      <c r="C9" s="26">
        <f>IF(A9&lt;='Summary Sheet'!$U$27,C$7*(1-'Summary Sheet'!$B$17)^Sheet1!$A8,0)</f>
        <v>2633702.8955138307</v>
      </c>
      <c r="D9" s="26">
        <f>IF($A9&lt;='Summary Sheet'!$U$27,D$7*(1-'Summary Sheet'!$B$17)^Sheet1!$A8,0)</f>
        <v>1080689.2378337006</v>
      </c>
      <c r="E9" s="26">
        <f>IF($A9&lt;='Summary Sheet'!$U$27,E$7*(1-'Summary Sheet'!$B$17)^Sheet1!$A8,0)</f>
        <v>7533620.6085097091</v>
      </c>
      <c r="F9" s="27">
        <f>IF('Summary Sheet'!$B$33=Working!$R$2,F8*(1+'Summary Sheet'!$B$34),F$6*(1+$B9))</f>
        <v>0.14001655061214857</v>
      </c>
      <c r="G9" s="27">
        <f>IF('Summary Sheet'!$B$33=Working!$R$2,G8*(1+'Summary Sheet'!$B$34),G$6*(1+$B9))</f>
        <v>9.0921466897181405E-2</v>
      </c>
      <c r="H9" s="27">
        <f>IF('Summary Sheet'!$B$33=Working!$R$2,H8*(1+'Summary Sheet'!$B$34),H$6*(1+$B9))</f>
        <v>0.16081547243606031</v>
      </c>
      <c r="I9" s="30">
        <f>IF(A9&lt;='Summary Sheet'!$U$27,F9*C9+D9*G9+E9*H9,0)</f>
        <v>1678542.6028424406</v>
      </c>
      <c r="J9" s="30">
        <f>IF(A9&lt;='Summary Sheet'!$U$27,-'Summary Sheet'!$B$15*'Summary Sheet'!$B$18*(1+'Summary Sheet'!$B$19)^A8,0)</f>
        <v>-163897.5</v>
      </c>
      <c r="K9" s="30">
        <f>IF('Summary Sheet'!$U$12=Working!$A$4,IF(A9&lt;='Summary Sheet'!$U$15,(Working!$BN$4*(1-'Summary Sheet'!$B$17)^(Sheet1!A8)*'Summary Sheet'!$U$13/1000)*'Summary Sheet'!$U$16*(1+'Summary Sheet'!$U$14)^-Sheet1!$A9,0),0)</f>
        <v>777316.50521419232</v>
      </c>
      <c r="L9" s="30">
        <f t="shared" si="1"/>
        <v>2291961.6080566328</v>
      </c>
      <c r="M9" s="41"/>
      <c r="N9" s="30">
        <f>IF(A9&lt;='Summary Sheet'!$U$30,'Summary Sheet'!$N$6*(1-'Summary Sheet'!$U$29)/(((1-(1+'Summary Sheet'!$U$31)^-('Summary Sheet'!$U$30+'Summary Sheet'!$U$32)))/('Summary Sheet'!$U$31)),IF(A9&lt;='Summary Sheet'!$U$30+'Summary Sheet'!$U$32,$O$1*(1)/(((1-(1+'Summary Sheet'!$U$33)^-'Summary Sheet'!$U$32))/('Summary Sheet'!$U$33)),0))</f>
        <v>1244278.3573409365</v>
      </c>
      <c r="O9" s="30">
        <f>IF(A9&lt;='Summary Sheet'!$U$30,P8*'Summary Sheet'!$U$31,IF(A9&lt;='Summary Sheet'!$U$32+'Summary Sheet'!$U$30,Sheet1!P8*'Summary Sheet'!$U$33,0))</f>
        <v>736080.84382440825</v>
      </c>
      <c r="P9" s="30">
        <f>IF(A9&lt;='Summary Sheet'!$U$30+'Summary Sheet'!$U$32,P8-N9+O9,0)</f>
        <v>18032881.676015168</v>
      </c>
      <c r="Q9" s="30">
        <f>IF('Summary Sheet'!$U$28="Y",SUM(I9:K9,-N9),Sheet1!L9)</f>
        <v>2291961.6080566328</v>
      </c>
      <c r="R9" s="41"/>
      <c r="S9" s="30">
        <f t="shared" si="2"/>
        <v>-13372907.992631266</v>
      </c>
      <c r="T9" s="30">
        <f>Q9/(1+'Summary Sheet'!$U$26)^(Sheet1!A9)</f>
        <v>2008438.1737642565</v>
      </c>
      <c r="U9" s="30">
        <f t="shared" si="0"/>
        <v>-13909620.698618812</v>
      </c>
    </row>
    <row r="10" spans="1:21" x14ac:dyDescent="0.25">
      <c r="A10" s="26">
        <v>4</v>
      </c>
      <c r="B10" s="124">
        <v>1.1000000000000001</v>
      </c>
      <c r="C10" s="26">
        <f>IF(A10&lt;='Summary Sheet'!$U$27,C$7*(1-'Summary Sheet'!$B$17)^Sheet1!$A9,0)</f>
        <v>2620534.3810362616</v>
      </c>
      <c r="D10" s="26">
        <f>IF($A10&lt;='Summary Sheet'!$U$27,D$7*(1-'Summary Sheet'!$B$17)^Sheet1!$A9,0)</f>
        <v>1075285.791644532</v>
      </c>
      <c r="E10" s="26">
        <f>IF($A10&lt;='Summary Sheet'!$U$27,E$7*(1-'Summary Sheet'!$B$17)^Sheet1!$A9,0)</f>
        <v>7495952.5054671606</v>
      </c>
      <c r="F10" s="27">
        <f>IF('Summary Sheet'!$B$33=Working!$R$2,F9*(1+'Summary Sheet'!$B$34),F$6*(1+$B10))</f>
        <v>0.12251448178563</v>
      </c>
      <c r="G10" s="27">
        <f>IF('Summary Sheet'!$B$33=Working!$R$2,G9*(1+'Summary Sheet'!$B$34),G$6*(1+$B10))</f>
        <v>7.9556283535033731E-2</v>
      </c>
      <c r="H10" s="27">
        <f>IF('Summary Sheet'!$B$33=Working!$R$2,H9*(1+'Summary Sheet'!$B$34),H$6*(1+$B10))</f>
        <v>0.14071353838155279</v>
      </c>
      <c r="I10" s="30">
        <f>IF(A10&lt;='Summary Sheet'!$U$27,F10*C10+D10*G10+E10*H10,0)</f>
        <v>1461381.1535997</v>
      </c>
      <c r="J10" s="30">
        <f>IF(A10&lt;='Summary Sheet'!$U$27,-'Summary Sheet'!$B$15*'Summary Sheet'!$B$18*(1+'Summary Sheet'!$B$19)^A9,0)</f>
        <v>-167994.93749999997</v>
      </c>
      <c r="K10" s="30">
        <f>IF('Summary Sheet'!$U$12=Working!$A$4,IF(A10&lt;='Summary Sheet'!$U$15,(Working!$BN$4*(1-'Summary Sheet'!$B$17)^(Sheet1!A9)*'Summary Sheet'!$U$13/1000)*'Summary Sheet'!$U$16*(1+'Summary Sheet'!$U$14)^-Sheet1!$A10,0),0)</f>
        <v>736599.92636963935</v>
      </c>
      <c r="L10" s="30">
        <f t="shared" si="1"/>
        <v>2029986.1424693393</v>
      </c>
      <c r="M10" s="41"/>
      <c r="N10" s="30">
        <f>IF(A10&lt;='Summary Sheet'!$U$30,'Summary Sheet'!$N$6*(1-'Summary Sheet'!$U$29)/(((1-(1+'Summary Sheet'!$U$31)^-('Summary Sheet'!$U$30+'Summary Sheet'!$U$32)))/('Summary Sheet'!$U$31)),IF(A10&lt;='Summary Sheet'!$U$30+'Summary Sheet'!$U$32,$O$1*(1)/(((1-(1+'Summary Sheet'!$U$33)^-'Summary Sheet'!$U$32))/('Summary Sheet'!$U$33)),0))</f>
        <v>1244278.3573409365</v>
      </c>
      <c r="O10" s="30">
        <f>IF(A10&lt;='Summary Sheet'!$U$30,P9*'Summary Sheet'!$U$31,IF(A10&lt;='Summary Sheet'!$U$32+'Summary Sheet'!$U$30,Sheet1!P9*'Summary Sheet'!$U$33,0))</f>
        <v>715905.40253780212</v>
      </c>
      <c r="P10" s="30">
        <f>IF(A10&lt;='Summary Sheet'!$U$30+'Summary Sheet'!$U$32,P9-N10+O10,0)</f>
        <v>17504508.721212033</v>
      </c>
      <c r="Q10" s="30">
        <f>IF('Summary Sheet'!$U$28="Y",SUM(I10:K10,-N10),Sheet1!L10)</f>
        <v>2029986.1424693393</v>
      </c>
      <c r="R10" s="41"/>
      <c r="S10" s="30">
        <f t="shared" si="2"/>
        <v>-11342921.850161927</v>
      </c>
      <c r="T10" s="30">
        <f>Q10/(1+'Summary Sheet'!$U$26)^(Sheet1!A10)</f>
        <v>1702267.9071046966</v>
      </c>
      <c r="U10" s="30">
        <f t="shared" si="0"/>
        <v>-12207352.791514115</v>
      </c>
    </row>
    <row r="11" spans="1:21" x14ac:dyDescent="0.25">
      <c r="A11" s="26">
        <v>5</v>
      </c>
      <c r="B11" s="124">
        <v>0.89999999999999991</v>
      </c>
      <c r="C11" s="26">
        <f>IF(A11&lt;='Summary Sheet'!$U$27,C$7*(1-'Summary Sheet'!$B$17)^Sheet1!$A10,0)</f>
        <v>2607431.7091310802</v>
      </c>
      <c r="D11" s="26">
        <f>IF($A11&lt;='Summary Sheet'!$U$27,D$7*(1-'Summary Sheet'!$B$17)^Sheet1!$A10,0)</f>
        <v>1069909.3626863095</v>
      </c>
      <c r="E11" s="26">
        <f>IF($A11&lt;='Summary Sheet'!$U$27,E$7*(1-'Summary Sheet'!$B$17)^Sheet1!$A10,0)</f>
        <v>7458472.7429398252</v>
      </c>
      <c r="F11" s="27">
        <f>IF('Summary Sheet'!$B$33=Working!$R$2,F10*(1+'Summary Sheet'!$B$34),F$6*(1+$B11))</f>
        <v>0.11084643590128428</v>
      </c>
      <c r="G11" s="27">
        <f>IF('Summary Sheet'!$B$33=Working!$R$2,G10*(1+'Summary Sheet'!$B$34),G$6*(1+$B11))</f>
        <v>7.1979494626935273E-2</v>
      </c>
      <c r="H11" s="27">
        <f>IF('Summary Sheet'!$B$33=Working!$R$2,H10*(1+'Summary Sheet'!$B$34),H$6*(1+$B11))</f>
        <v>0.12731224901188107</v>
      </c>
      <c r="I11" s="30">
        <f>IF(A11&lt;='Summary Sheet'!$U$27,F11*C11+D11*G11+E11*H11,0)</f>
        <v>1315590.9861334439</v>
      </c>
      <c r="J11" s="30">
        <f>IF(A11&lt;='Summary Sheet'!$U$27,-'Summary Sheet'!$B$15*'Summary Sheet'!$B$18*(1+'Summary Sheet'!$B$19)^A10,0)</f>
        <v>-172194.81093749998</v>
      </c>
      <c r="K11" s="30">
        <f>IF('Summary Sheet'!$U$12=Working!$A$4,IF(A11&lt;='Summary Sheet'!$U$15,(Working!$BN$4*(1-'Summary Sheet'!$B$17)^(Sheet1!A10)*'Summary Sheet'!$U$13/1000)*'Summary Sheet'!$U$16*(1+'Summary Sheet'!$U$14)^-Sheet1!$A11,0),0)</f>
        <v>698016.1207026582</v>
      </c>
      <c r="L11" s="30">
        <f t="shared" si="1"/>
        <v>1841412.2958986023</v>
      </c>
      <c r="M11" s="41"/>
      <c r="N11" s="30">
        <f>IF(A11&lt;='Summary Sheet'!$U$30,'Summary Sheet'!$N$6*(1-'Summary Sheet'!$U$29)/(((1-(1+'Summary Sheet'!$U$31)^-('Summary Sheet'!$U$30+'Summary Sheet'!$U$32)))/('Summary Sheet'!$U$31)),IF(A11&lt;='Summary Sheet'!$U$30+'Summary Sheet'!$U$32,$O$1*(1)/(((1-(1+'Summary Sheet'!$U$33)^-'Summary Sheet'!$U$32))/('Summary Sheet'!$U$33)),0))</f>
        <v>1244278.3573409365</v>
      </c>
      <c r="O11" s="30">
        <f>IF(A11&lt;='Summary Sheet'!$U$30,P10*'Summary Sheet'!$U$31,IF(A11&lt;='Summary Sheet'!$U$32+'Summary Sheet'!$U$30,Sheet1!P10*'Summary Sheet'!$U$33,0))</f>
        <v>694928.99623211776</v>
      </c>
      <c r="P11" s="30">
        <f>IF(A11&lt;='Summary Sheet'!$U$30+'Summary Sheet'!$U$32,P10-N11+O11,0)</f>
        <v>16955159.360103216</v>
      </c>
      <c r="Q11" s="30">
        <f>IF('Summary Sheet'!$U$28="Y",SUM(I11:K11,-N11),Sheet1!L11)</f>
        <v>1841412.2958986023</v>
      </c>
      <c r="R11" s="41"/>
      <c r="S11" s="30">
        <f t="shared" si="2"/>
        <v>-9501509.5542633235</v>
      </c>
      <c r="T11" s="30">
        <f>Q11/(1+'Summary Sheet'!$U$26)^(Sheet1!A11)</f>
        <v>1477643.2238830607</v>
      </c>
      <c r="U11" s="30">
        <f t="shared" si="0"/>
        <v>-10729709.567631055</v>
      </c>
    </row>
    <row r="12" spans="1:21" x14ac:dyDescent="0.25">
      <c r="A12" s="26">
        <v>6</v>
      </c>
      <c r="B12" s="124">
        <v>0.60000000000000009</v>
      </c>
      <c r="C12" s="26">
        <f>IF(A12&lt;='Summary Sheet'!$U$27,C$7*(1-'Summary Sheet'!$B$17)^Sheet1!$A11,0)</f>
        <v>2594394.550585425</v>
      </c>
      <c r="D12" s="26">
        <f>IF($A12&lt;='Summary Sheet'!$U$27,D$7*(1-'Summary Sheet'!$B$17)^Sheet1!$A11,0)</f>
        <v>1064559.8158728781</v>
      </c>
      <c r="E12" s="26">
        <f>IF($A12&lt;='Summary Sheet'!$U$27,E$7*(1-'Summary Sheet'!$B$17)^Sheet1!$A11,0)</f>
        <v>7421180.3792251255</v>
      </c>
      <c r="F12" s="27">
        <f>IF('Summary Sheet'!$B$33=Working!$R$2,F11*(1+'Summary Sheet'!$B$34),F$6*(1+$B12))</f>
        <v>9.3344367074765719E-2</v>
      </c>
      <c r="G12" s="27">
        <f>IF('Summary Sheet'!$B$33=Working!$R$2,G11*(1+'Summary Sheet'!$B$34),G$6*(1+$B12))</f>
        <v>6.0614311264787606E-2</v>
      </c>
      <c r="H12" s="27">
        <f>IF('Summary Sheet'!$B$33=Working!$R$2,H11*(1+'Summary Sheet'!$B$34),H$6*(1+$B12))</f>
        <v>0.10721031495737354</v>
      </c>
      <c r="I12" s="30">
        <f>IF(A12&lt;='Summary Sheet'!$U$27,F12*C12+D12*G12+E12*H12,0)</f>
        <v>1102326.7631181278</v>
      </c>
      <c r="J12" s="30">
        <f>IF(A12&lt;='Summary Sheet'!$U$27,-'Summary Sheet'!$B$15*'Summary Sheet'!$B$18*(1+'Summary Sheet'!$B$19)^A11,0)</f>
        <v>-176499.68121093744</v>
      </c>
      <c r="K12" s="30">
        <f>IF('Summary Sheet'!$U$12=Working!$A$4,IF(A12&lt;='Summary Sheet'!$U$15,(Working!$BN$4*(1-'Summary Sheet'!$B$17)^(Sheet1!A11)*'Summary Sheet'!$U$13/1000)*'Summary Sheet'!$U$16*(1+'Summary Sheet'!$U$14)^-Sheet1!$A12,0),0)</f>
        <v>0</v>
      </c>
      <c r="L12" s="30">
        <f t="shared" si="1"/>
        <v>925827.08190719038</v>
      </c>
      <c r="M12" s="41"/>
      <c r="N12" s="30">
        <f>IF(A12&lt;='Summary Sheet'!$U$30,'Summary Sheet'!$N$6*(1-'Summary Sheet'!$U$29)/(((1-(1+'Summary Sheet'!$U$31)^-('Summary Sheet'!$U$30+'Summary Sheet'!$U$32)))/('Summary Sheet'!$U$31)),IF(A12&lt;='Summary Sheet'!$U$30+'Summary Sheet'!$U$32,$O$1*(1)/(((1-(1+'Summary Sheet'!$U$33)^-'Summary Sheet'!$U$32))/('Summary Sheet'!$U$33)),0))</f>
        <v>1244278.3573409365</v>
      </c>
      <c r="O12" s="30">
        <f>IF(A12&lt;='Summary Sheet'!$U$30,P11*'Summary Sheet'!$U$31,IF(A12&lt;='Summary Sheet'!$U$32+'Summary Sheet'!$U$30,Sheet1!P11*'Summary Sheet'!$U$33,0))</f>
        <v>673119.82659609767</v>
      </c>
      <c r="P12" s="30">
        <f>IF(A12&lt;='Summary Sheet'!$U$30+'Summary Sheet'!$U$32,P11-N12+O12,0)</f>
        <v>16384000.829358378</v>
      </c>
      <c r="Q12" s="30">
        <f>IF('Summary Sheet'!$U$28="Y",SUM(I12:K12,-N12),Sheet1!L12)</f>
        <v>925827.08190719038</v>
      </c>
      <c r="R12" s="41"/>
      <c r="S12" s="30">
        <f t="shared" si="2"/>
        <v>-8575682.4723561332</v>
      </c>
      <c r="T12" s="30">
        <f>Q12/(1+'Summary Sheet'!$U$26)^(Sheet1!A12)</f>
        <v>710938.67057904275</v>
      </c>
      <c r="U12" s="30">
        <f t="shared" si="0"/>
        <v>-10018770.897052012</v>
      </c>
    </row>
    <row r="13" spans="1:21" x14ac:dyDescent="0.25">
      <c r="A13" s="26">
        <v>7</v>
      </c>
      <c r="B13" s="124">
        <v>0.44999999999999996</v>
      </c>
      <c r="C13" s="26">
        <f>IF(A13&lt;='Summary Sheet'!$U$27,C$7*(1-'Summary Sheet'!$B$17)^Sheet1!$A12,0)</f>
        <v>2581422.5778324977</v>
      </c>
      <c r="D13" s="26">
        <f>IF($A13&lt;='Summary Sheet'!$U$27,D$7*(1-'Summary Sheet'!$B$17)^Sheet1!$A12,0)</f>
        <v>1059237.0167935137</v>
      </c>
      <c r="E13" s="26">
        <f>IF($A13&lt;='Summary Sheet'!$U$27,E$7*(1-'Summary Sheet'!$B$17)^Sheet1!$A12,0)</f>
        <v>7384074.4773290008</v>
      </c>
      <c r="F13" s="27">
        <f>IF('Summary Sheet'!$B$33=Working!$R$2,F12*(1+'Summary Sheet'!$B$34),F$6*(1+$B13))</f>
        <v>8.4593332661506426E-2</v>
      </c>
      <c r="G13" s="27">
        <f>IF('Summary Sheet'!$B$33=Working!$R$2,G12*(1+'Summary Sheet'!$B$34),G$6*(1+$B13))</f>
        <v>5.4931719583713762E-2</v>
      </c>
      <c r="H13" s="27">
        <f>IF('Summary Sheet'!$B$33=Working!$R$2,H12*(1+'Summary Sheet'!$B$34),H$6*(1+$B13))</f>
        <v>9.7159347930119766E-2</v>
      </c>
      <c r="I13" s="30">
        <f>IF(A13&lt;='Summary Sheet'!$U$27,F13*C13+D13*G13+E13*H13,0)</f>
        <v>993988.71093042428</v>
      </c>
      <c r="J13" s="30">
        <f>IF(A13&lt;='Summary Sheet'!$U$27,-'Summary Sheet'!$B$15*'Summary Sheet'!$B$18*(1+'Summary Sheet'!$B$19)^A12,0)</f>
        <v>-180912.17324121087</v>
      </c>
      <c r="K13" s="30">
        <f>IF('Summary Sheet'!$U$12=Working!$A$4,IF(A13&lt;='Summary Sheet'!$U$15,(Working!$BN$4*(1-'Summary Sheet'!$B$17)^(Sheet1!A12)*'Summary Sheet'!$U$13/1000)*'Summary Sheet'!$U$16*(1+'Summary Sheet'!$U$14)^-Sheet1!$A13,0),0)</f>
        <v>0</v>
      </c>
      <c r="L13" s="30">
        <f t="shared" si="1"/>
        <v>813076.53768921341</v>
      </c>
      <c r="M13" s="41"/>
      <c r="N13" s="30">
        <f>IF(A13&lt;='Summary Sheet'!$U$30,'Summary Sheet'!$N$6*(1-'Summary Sheet'!$U$29)/(((1-(1+'Summary Sheet'!$U$31)^-('Summary Sheet'!$U$30+'Summary Sheet'!$U$32)))/('Summary Sheet'!$U$31)),IF(A13&lt;='Summary Sheet'!$U$30+'Summary Sheet'!$U$32,$O$1*(1)/(((1-(1+'Summary Sheet'!$U$33)^-'Summary Sheet'!$U$32))/('Summary Sheet'!$U$33)),0))</f>
        <v>1244278.3573409365</v>
      </c>
      <c r="O13" s="30">
        <f>IF(A13&lt;='Summary Sheet'!$U$30,P12*'Summary Sheet'!$U$31,IF(A13&lt;='Summary Sheet'!$U$32+'Summary Sheet'!$U$30,Sheet1!P12*'Summary Sheet'!$U$33,0))</f>
        <v>650444.83292552759</v>
      </c>
      <c r="P13" s="30">
        <f>IF(A13&lt;='Summary Sheet'!$U$30+'Summary Sheet'!$U$32,P12-N13+O13,0)</f>
        <v>15790167.304942969</v>
      </c>
      <c r="Q13" s="30">
        <f>IF('Summary Sheet'!$U$28="Y",SUM(I13:K13,-N13),Sheet1!L13)</f>
        <v>813076.53768921341</v>
      </c>
      <c r="R13" s="41"/>
      <c r="S13" s="30">
        <f t="shared" si="2"/>
        <v>-7762605.9346669195</v>
      </c>
      <c r="T13" s="30">
        <f>Q13/(1+'Summary Sheet'!$U$26)^(Sheet1!A13)</f>
        <v>597471.77816795616</v>
      </c>
      <c r="U13" s="30">
        <f t="shared" si="0"/>
        <v>-9421299.1188840568</v>
      </c>
    </row>
    <row r="14" spans="1:21" x14ac:dyDescent="0.25">
      <c r="A14" s="26">
        <v>8</v>
      </c>
      <c r="B14" s="124">
        <v>0.44999999999999996</v>
      </c>
      <c r="C14" s="26">
        <f>IF(A14&lt;='Summary Sheet'!$U$27,C$7*(1-'Summary Sheet'!$B$17)^Sheet1!$A13,0)</f>
        <v>2568515.4649433354</v>
      </c>
      <c r="D14" s="26">
        <f>IF($A14&lt;='Summary Sheet'!$U$27,D$7*(1-'Summary Sheet'!$B$17)^Sheet1!$A13,0)</f>
        <v>1053940.831709546</v>
      </c>
      <c r="E14" s="26">
        <f>IF($A14&lt;='Summary Sheet'!$U$27,E$7*(1-'Summary Sheet'!$B$17)^Sheet1!$A13,0)</f>
        <v>7347154.1049423553</v>
      </c>
      <c r="F14" s="27">
        <f>IF('Summary Sheet'!$B$33=Working!$R$2,F13*(1+'Summary Sheet'!$B$34),F$6*(1+$B14))</f>
        <v>8.4593332661506426E-2</v>
      </c>
      <c r="G14" s="27">
        <f>IF('Summary Sheet'!$B$33=Working!$R$2,G13*(1+'Summary Sheet'!$B$34),G$6*(1+$B14))</f>
        <v>5.4931719583713762E-2</v>
      </c>
      <c r="H14" s="27">
        <f>IF('Summary Sheet'!$B$33=Working!$R$2,H13*(1+'Summary Sheet'!$B$34),H$6*(1+$B14))</f>
        <v>9.7159347930119766E-2</v>
      </c>
      <c r="I14" s="30">
        <f>IF(A14&lt;='Summary Sheet'!$U$27,F14*C14+D14*G14+E14*H14,0)</f>
        <v>989018.76737577224</v>
      </c>
      <c r="J14" s="30">
        <f>IF(A14&lt;='Summary Sheet'!$U$27,-'Summary Sheet'!$B$15*'Summary Sheet'!$B$18*(1+'Summary Sheet'!$B$19)^A13,0)</f>
        <v>-185434.97757224116</v>
      </c>
      <c r="K14" s="30">
        <f>IF('Summary Sheet'!$U$12=Working!$A$4,IF(A14&lt;='Summary Sheet'!$U$15,(Working!$BN$4*(1-'Summary Sheet'!$B$17)^(Sheet1!A13)*'Summary Sheet'!$U$13/1000)*'Summary Sheet'!$U$16*(1+'Summary Sheet'!$U$14)^-Sheet1!$A14,0),0)</f>
        <v>0</v>
      </c>
      <c r="L14" s="30">
        <f t="shared" si="1"/>
        <v>803583.78980353102</v>
      </c>
      <c r="M14" s="41"/>
      <c r="N14" s="30">
        <f>IF(A14&lt;='Summary Sheet'!$U$30,'Summary Sheet'!$N$6*(1-'Summary Sheet'!$U$29)/(((1-(1+'Summary Sheet'!$U$31)^-('Summary Sheet'!$U$30+'Summary Sheet'!$U$32)))/('Summary Sheet'!$U$31)),IF(A14&lt;='Summary Sheet'!$U$30+'Summary Sheet'!$U$32,$O$1*(1)/(((1-(1+'Summary Sheet'!$U$33)^-'Summary Sheet'!$U$32))/('Summary Sheet'!$U$33)),0))</f>
        <v>1244278.3573409365</v>
      </c>
      <c r="O14" s="30">
        <f>IF(A14&lt;='Summary Sheet'!$U$30,P13*'Summary Sheet'!$U$31,IF(A14&lt;='Summary Sheet'!$U$32+'Summary Sheet'!$U$30,Sheet1!P13*'Summary Sheet'!$U$33,0))</f>
        <v>626869.6420062359</v>
      </c>
      <c r="P14" s="30">
        <f>IF(A14&lt;='Summary Sheet'!$U$30+'Summary Sheet'!$U$32,P13-N14+O14,0)</f>
        <v>15172758.589608269</v>
      </c>
      <c r="Q14" s="30">
        <f>IF('Summary Sheet'!$U$28="Y",SUM(I14:K14,-N14),Sheet1!L14)</f>
        <v>803583.78980353102</v>
      </c>
      <c r="R14" s="41"/>
      <c r="S14" s="30">
        <f t="shared" si="2"/>
        <v>-6959022.1448633885</v>
      </c>
      <c r="T14" s="30">
        <f>Q14/(1+'Summary Sheet'!$U$26)^(Sheet1!A14)</f>
        <v>565068.16926311189</v>
      </c>
      <c r="U14" s="30">
        <f t="shared" si="0"/>
        <v>-8856230.9496209454</v>
      </c>
    </row>
    <row r="15" spans="1:21" x14ac:dyDescent="0.25">
      <c r="A15" s="26">
        <v>9</v>
      </c>
      <c r="B15" s="124">
        <v>0.39999999999999991</v>
      </c>
      <c r="C15" s="26">
        <f>IF(A15&lt;='Summary Sheet'!$U$27,C$7*(1-'Summary Sheet'!$B$17)^Sheet1!$A14,0)</f>
        <v>2555672.8876186186</v>
      </c>
      <c r="D15" s="26">
        <f>IF($A15&lt;='Summary Sheet'!$U$27,D$7*(1-'Summary Sheet'!$B$17)^Sheet1!$A14,0)</f>
        <v>1048671.1275509982</v>
      </c>
      <c r="E15" s="26">
        <f>IF($A15&lt;='Summary Sheet'!$U$27,E$7*(1-'Summary Sheet'!$B$17)^Sheet1!$A14,0)</f>
        <v>7310418.334417643</v>
      </c>
      <c r="F15" s="27">
        <f>IF('Summary Sheet'!$B$33=Working!$R$2,F14*(1+'Summary Sheet'!$B$34),F$6*(1+$B15))</f>
        <v>8.1676321190419995E-2</v>
      </c>
      <c r="G15" s="27">
        <f>IF('Summary Sheet'!$B$33=Working!$R$2,G14*(1+'Summary Sheet'!$B$34),G$6*(1+$B15))</f>
        <v>5.3037522356689147E-2</v>
      </c>
      <c r="H15" s="27">
        <f>IF('Summary Sheet'!$B$33=Working!$R$2,H14*(1+'Summary Sheet'!$B$34),H$6*(1+$B15))</f>
        <v>9.380902558770185E-2</v>
      </c>
      <c r="I15" s="30">
        <f>IF(A15&lt;='Summary Sheet'!$U$27,F15*C15+D15*G15+E15*H15,0)</f>
        <v>950140.09858927643</v>
      </c>
      <c r="J15" s="30">
        <f>IF(A15&lt;='Summary Sheet'!$U$27,-'Summary Sheet'!$B$15*'Summary Sheet'!$B$18*(1+'Summary Sheet'!$B$19)^A14,0)</f>
        <v>-190070.85201154716</v>
      </c>
      <c r="K15" s="30">
        <f>IF('Summary Sheet'!$U$12=Working!$A$4,IF(A15&lt;='Summary Sheet'!$U$15,(Working!$BN$4*(1-'Summary Sheet'!$B$17)^(Sheet1!A14)*'Summary Sheet'!$U$13/1000)*'Summary Sheet'!$U$16*(1+'Summary Sheet'!$U$14)^-Sheet1!$A15,0),0)</f>
        <v>0</v>
      </c>
      <c r="L15" s="30">
        <f t="shared" si="1"/>
        <v>760069.24657772924</v>
      </c>
      <c r="M15" s="41"/>
      <c r="N15" s="30">
        <f>IF(A15&lt;='Summary Sheet'!$U$30,'Summary Sheet'!$N$6*(1-'Summary Sheet'!$U$29)/(((1-(1+'Summary Sheet'!$U$31)^-('Summary Sheet'!$U$30+'Summary Sheet'!$U$32)))/('Summary Sheet'!$U$31)),IF(A15&lt;='Summary Sheet'!$U$30+'Summary Sheet'!$U$32,$O$1*(1)/(((1-(1+'Summary Sheet'!$U$33)^-'Summary Sheet'!$U$32))/('Summary Sheet'!$U$33)),0))</f>
        <v>1244278.3573409365</v>
      </c>
      <c r="O15" s="30">
        <f>IF(A15&lt;='Summary Sheet'!$U$30,P14*'Summary Sheet'!$U$31,IF(A15&lt;='Summary Sheet'!$U$32+'Summary Sheet'!$U$30,Sheet1!P14*'Summary Sheet'!$U$33,0))</f>
        <v>602358.51600744831</v>
      </c>
      <c r="P15" s="30">
        <f>IF(A15&lt;='Summary Sheet'!$U$30+'Summary Sheet'!$U$32,P14-N15+O15,0)</f>
        <v>14530838.748274779</v>
      </c>
      <c r="Q15" s="30">
        <f>IF('Summary Sheet'!$U$28="Y",SUM(I15:K15,-N15),Sheet1!L15)</f>
        <v>760069.24657772924</v>
      </c>
      <c r="R15" s="41"/>
      <c r="S15" s="30">
        <f t="shared" si="2"/>
        <v>-6198952.898285659</v>
      </c>
      <c r="T15" s="30">
        <f>Q15/(1+'Summary Sheet'!$U$26)^(Sheet1!A15)</f>
        <v>511453.96139701881</v>
      </c>
      <c r="U15" s="30">
        <f t="shared" si="0"/>
        <v>-8344776.9882239262</v>
      </c>
    </row>
    <row r="16" spans="1:21" x14ac:dyDescent="0.25">
      <c r="A16" s="26">
        <v>10</v>
      </c>
      <c r="B16" s="124">
        <v>0.35000000000000009</v>
      </c>
      <c r="C16" s="26">
        <f>IF(A16&lt;='Summary Sheet'!$U$27,C$7*(1-'Summary Sheet'!$B$17)^Sheet1!$A15,0)</f>
        <v>2542894.5231805253</v>
      </c>
      <c r="D16" s="26">
        <f>IF($A16&lt;='Summary Sheet'!$U$27,D$7*(1-'Summary Sheet'!$B$17)^Sheet1!$A15,0)</f>
        <v>1043427.7719132432</v>
      </c>
      <c r="E16" s="26">
        <f>IF($A16&lt;='Summary Sheet'!$U$27,E$7*(1-'Summary Sheet'!$B$17)^Sheet1!$A15,0)</f>
        <v>7273866.242745555</v>
      </c>
      <c r="F16" s="27">
        <f>IF('Summary Sheet'!$B$33=Working!$R$2,F15*(1+'Summary Sheet'!$B$34),F$6*(1+$B16))</f>
        <v>7.8759309719333578E-2</v>
      </c>
      <c r="G16" s="27">
        <f>IF('Summary Sheet'!$B$33=Working!$R$2,G15*(1+'Summary Sheet'!$B$34),G$6*(1+$B16))</f>
        <v>5.1143325129664539E-2</v>
      </c>
      <c r="H16" s="27">
        <f>IF('Summary Sheet'!$B$33=Working!$R$2,H15*(1+'Summary Sheet'!$B$34),H$6*(1+$B16))</f>
        <v>9.0458703245283933E-2</v>
      </c>
      <c r="I16" s="30">
        <f>IF(A16&lt;='Summary Sheet'!$U$27,F16*C16+D16*G16+E16*H16,0)</f>
        <v>911625.49102146109</v>
      </c>
      <c r="J16" s="30">
        <f>IF(A16&lt;='Summary Sheet'!$U$27,-'Summary Sheet'!$B$15*'Summary Sheet'!$B$18*(1+'Summary Sheet'!$B$19)^A15,0)</f>
        <v>-194822.62331183581</v>
      </c>
      <c r="K16" s="30">
        <f>IF('Summary Sheet'!$U$12=Working!$A$4,IF(A16&lt;='Summary Sheet'!$U$15,(Working!$BN$4*(1-'Summary Sheet'!$B$17)^(Sheet1!A15)*'Summary Sheet'!$U$13/1000)*'Summary Sheet'!$U$16*(1+'Summary Sheet'!$U$14)^-Sheet1!$A16,0),0)</f>
        <v>0</v>
      </c>
      <c r="L16" s="30">
        <f t="shared" si="1"/>
        <v>716802.86770962528</v>
      </c>
      <c r="M16" s="41"/>
      <c r="N16" s="30">
        <f>IF(A16&lt;='Summary Sheet'!$U$30,'Summary Sheet'!$N$6*(1-'Summary Sheet'!$U$29)/(((1-(1+'Summary Sheet'!$U$31)^-('Summary Sheet'!$U$30+'Summary Sheet'!$U$32)))/('Summary Sheet'!$U$31)),IF(A16&lt;='Summary Sheet'!$U$30+'Summary Sheet'!$U$32,$O$1*(1)/(((1-(1+'Summary Sheet'!$U$33)^-'Summary Sheet'!$U$32))/('Summary Sheet'!$U$33)),0))</f>
        <v>1244278.3573409365</v>
      </c>
      <c r="O16" s="30">
        <f>IF(A16&lt;='Summary Sheet'!$U$30,P15*'Summary Sheet'!$U$31,IF(A16&lt;='Summary Sheet'!$U$32+'Summary Sheet'!$U$30,Sheet1!P15*'Summary Sheet'!$U$33,0))</f>
        <v>576874.29830650869</v>
      </c>
      <c r="P16" s="30">
        <f>IF(A16&lt;='Summary Sheet'!$U$30+'Summary Sheet'!$U$32,P15-N16+O16,0)</f>
        <v>13863434.689240349</v>
      </c>
      <c r="Q16" s="30">
        <f>IF('Summary Sheet'!$U$28="Y",SUM(I16:K16,-N16),Sheet1!L16)</f>
        <v>716802.86770962528</v>
      </c>
      <c r="R16" s="41"/>
      <c r="S16" s="30">
        <f t="shared" si="2"/>
        <v>-5482150.0305760335</v>
      </c>
      <c r="T16" s="30">
        <f>Q16/(1+'Summary Sheet'!$U$26)^(Sheet1!A16)</f>
        <v>461569.20907674677</v>
      </c>
      <c r="U16" s="30">
        <f t="shared" si="0"/>
        <v>-7883207.7791471798</v>
      </c>
    </row>
    <row r="17" spans="1:21" x14ac:dyDescent="0.25">
      <c r="A17" s="26">
        <v>11</v>
      </c>
      <c r="B17" s="124">
        <v>0.30000000000000004</v>
      </c>
      <c r="C17" s="26">
        <f>IF(A17&lt;='Summary Sheet'!$U$27,C$7*(1-'Summary Sheet'!$B$17)^Sheet1!$A16,0)</f>
        <v>2530180.050564623</v>
      </c>
      <c r="D17" s="26">
        <f>IF($A17&lt;='Summary Sheet'!$U$27,D$7*(1-'Summary Sheet'!$B$17)^Sheet1!$A16,0)</f>
        <v>1038210.633053677</v>
      </c>
      <c r="E17" s="26">
        <f>IF($A17&lt;='Summary Sheet'!$U$27,E$7*(1-'Summary Sheet'!$B$17)^Sheet1!$A16,0)</f>
        <v>7237496.9115318274</v>
      </c>
      <c r="F17" s="27">
        <f>IF('Summary Sheet'!$B$33=Working!$R$2,F16*(1+'Summary Sheet'!$B$34),F$6*(1+$B17))</f>
        <v>7.5842298248247147E-2</v>
      </c>
      <c r="G17" s="27">
        <f>IF('Summary Sheet'!$B$33=Working!$R$2,G16*(1+'Summary Sheet'!$B$34),G$6*(1+$B17))</f>
        <v>4.9249127902639925E-2</v>
      </c>
      <c r="H17" s="27">
        <f>IF('Summary Sheet'!$B$33=Working!$R$2,H16*(1+'Summary Sheet'!$B$34),H$6*(1+$B17))</f>
        <v>8.7108380902866003E-2</v>
      </c>
      <c r="I17" s="30">
        <f>IF(A17&lt;='Summary Sheet'!$U$27,F17*C17+D17*G17+E17*H17,0)</f>
        <v>873472.27602685918</v>
      </c>
      <c r="J17" s="30">
        <f>IF(A17&lt;='Summary Sheet'!$U$27,-'Summary Sheet'!$B$15*'Summary Sheet'!$B$18*(1+'Summary Sheet'!$B$19)^A16,0)</f>
        <v>-199693.18889463172</v>
      </c>
      <c r="K17" s="30">
        <f>IF('Summary Sheet'!$U$12=Working!$A$4,IF(A17&lt;='Summary Sheet'!$U$15,(Working!$BN$4*(1-'Summary Sheet'!$B$17)^(Sheet1!A16)*'Summary Sheet'!$U$13/1000)*'Summary Sheet'!$U$16*(1+'Summary Sheet'!$U$14)^-Sheet1!$A17,0),0)</f>
        <v>0</v>
      </c>
      <c r="L17" s="30">
        <f t="shared" si="1"/>
        <v>673779.08713222749</v>
      </c>
      <c r="M17" s="41"/>
      <c r="N17" s="30">
        <f>IF(A17&lt;='Summary Sheet'!$U$30,'Summary Sheet'!$N$6*(1-'Summary Sheet'!$U$29)/(((1-(1+'Summary Sheet'!$U$31)^-('Summary Sheet'!$U$30+'Summary Sheet'!$U$32)))/('Summary Sheet'!$U$31)),IF(A17&lt;='Summary Sheet'!$U$30+'Summary Sheet'!$U$32,$O$1*(1)/(((1-(1+'Summary Sheet'!$U$33)^-'Summary Sheet'!$U$32))/('Summary Sheet'!$U$33)),0))</f>
        <v>1244278.3573409365</v>
      </c>
      <c r="O17" s="30">
        <f>IF(A17&lt;='Summary Sheet'!$U$30,P16*'Summary Sheet'!$U$31,IF(A17&lt;='Summary Sheet'!$U$32+'Summary Sheet'!$U$30,Sheet1!P16*'Summary Sheet'!$U$33,0))</f>
        <v>550378.35716284183</v>
      </c>
      <c r="P17" s="30">
        <f>IF(A17&lt;='Summary Sheet'!$U$30+'Summary Sheet'!$U$32,P16-N17+O17,0)</f>
        <v>13169534.689062255</v>
      </c>
      <c r="Q17" s="30">
        <f>IF('Summary Sheet'!$U$28="Y",SUM(I17:K17,-N17),Sheet1!L17)</f>
        <v>673779.08713222749</v>
      </c>
      <c r="R17" s="41"/>
      <c r="S17" s="30">
        <f t="shared" si="2"/>
        <v>-4808370.9434438059</v>
      </c>
      <c r="T17" s="30">
        <f>Q17/(1+'Summary Sheet'!$U$26)^(Sheet1!A17)</f>
        <v>415181.82371040556</v>
      </c>
      <c r="U17" s="30">
        <f t="shared" si="0"/>
        <v>-7468025.9554367745</v>
      </c>
    </row>
    <row r="18" spans="1:21" x14ac:dyDescent="0.25">
      <c r="A18" s="26">
        <v>12</v>
      </c>
      <c r="B18" s="124">
        <v>0.25</v>
      </c>
      <c r="C18" s="26">
        <f>IF(A18&lt;='Summary Sheet'!$U$27,C$7*(1-'Summary Sheet'!$B$17)^Sheet1!$A17,0)</f>
        <v>2517529.1503117997</v>
      </c>
      <c r="D18" s="26">
        <f>IF($A18&lt;='Summary Sheet'!$U$27,D$7*(1-'Summary Sheet'!$B$17)^Sheet1!$A17,0)</f>
        <v>1033019.5798884087</v>
      </c>
      <c r="E18" s="26">
        <f>IF($A18&lt;='Summary Sheet'!$U$27,E$7*(1-'Summary Sheet'!$B$17)^Sheet1!$A17,0)</f>
        <v>7201309.426974168</v>
      </c>
      <c r="F18" s="27">
        <f>IF('Summary Sheet'!$B$33=Working!$R$2,F17*(1+'Summary Sheet'!$B$34),F$6*(1+$B18))</f>
        <v>7.2925286777160717E-2</v>
      </c>
      <c r="G18" s="27">
        <f>IF('Summary Sheet'!$B$33=Working!$R$2,G17*(1+'Summary Sheet'!$B$34),G$6*(1+$B18))</f>
        <v>4.7354930675615317E-2</v>
      </c>
      <c r="H18" s="27">
        <f>IF('Summary Sheet'!$B$33=Working!$R$2,H17*(1+'Summary Sheet'!$B$34),H$6*(1+$B18))</f>
        <v>8.3758058560448073E-2</v>
      </c>
      <c r="I18" s="30">
        <f>IF(A18&lt;='Summary Sheet'!$U$27,F18*C18+D18*G18+E18*H18,0)</f>
        <v>835677.80254492769</v>
      </c>
      <c r="J18" s="30">
        <f>IF(A18&lt;='Summary Sheet'!$U$27,-'Summary Sheet'!$B$15*'Summary Sheet'!$B$18*(1+'Summary Sheet'!$B$19)^A17,0)</f>
        <v>-204685.51861699749</v>
      </c>
      <c r="K18" s="30">
        <f>IF('Summary Sheet'!$U$12=Working!$A$4,IF(A18&lt;='Summary Sheet'!$U$15,(Working!$BN$4*(1-'Summary Sheet'!$B$17)^(Sheet1!A17)*'Summary Sheet'!$U$13/1000)*'Summary Sheet'!$U$16*(1+'Summary Sheet'!$U$14)^-Sheet1!$A18,0),0)</f>
        <v>0</v>
      </c>
      <c r="L18" s="30">
        <f t="shared" si="1"/>
        <v>630992.28392793017</v>
      </c>
      <c r="M18" s="41"/>
      <c r="N18" s="30">
        <f>IF(A18&lt;='Summary Sheet'!$U$30,'Summary Sheet'!$N$6*(1-'Summary Sheet'!$U$29)/(((1-(1+'Summary Sheet'!$U$31)^-('Summary Sheet'!$U$30+'Summary Sheet'!$U$32)))/('Summary Sheet'!$U$31)),IF(A18&lt;='Summary Sheet'!$U$30+'Summary Sheet'!$U$32,$O$1*(1)/(((1-(1+'Summary Sheet'!$U$33)^-'Summary Sheet'!$U$32))/('Summary Sheet'!$U$33)),0))</f>
        <v>1244278.3573409365</v>
      </c>
      <c r="O18" s="30">
        <f>IF(A18&lt;='Summary Sheet'!$U$30,P17*'Summary Sheet'!$U$31,IF(A18&lt;='Summary Sheet'!$U$32+'Summary Sheet'!$U$30,Sheet1!P17*'Summary Sheet'!$U$33,0))</f>
        <v>522830.5271557715</v>
      </c>
      <c r="P18" s="30">
        <f>IF(A18&lt;='Summary Sheet'!$U$30+'Summary Sheet'!$U$32,P17-N18+O18,0)</f>
        <v>12448086.858877089</v>
      </c>
      <c r="Q18" s="30">
        <f>IF('Summary Sheet'!$U$28="Y",SUM(I18:K18,-N18),Sheet1!L18)</f>
        <v>630992.28392793017</v>
      </c>
      <c r="R18" s="41"/>
      <c r="S18" s="30">
        <f t="shared" si="2"/>
        <v>-4177378.6595158759</v>
      </c>
      <c r="T18" s="30">
        <f>Q18/(1+'Summary Sheet'!$U$26)^(Sheet1!A18)</f>
        <v>372073.34884142311</v>
      </c>
      <c r="U18" s="30">
        <f t="shared" si="0"/>
        <v>-7095952.6065953514</v>
      </c>
    </row>
    <row r="19" spans="1:21" x14ac:dyDescent="0.25">
      <c r="A19" s="26">
        <v>13</v>
      </c>
      <c r="B19" s="124">
        <v>0.19999999999999996</v>
      </c>
      <c r="C19" s="26">
        <f>IF(A19&lt;='Summary Sheet'!$U$27,C$7*(1-'Summary Sheet'!$B$17)^Sheet1!$A18,0)</f>
        <v>2504941.504560241</v>
      </c>
      <c r="D19" s="26">
        <f>IF($A19&lt;='Summary Sheet'!$U$27,D$7*(1-'Summary Sheet'!$B$17)^Sheet1!$A18,0)</f>
        <v>1027854.4819889667</v>
      </c>
      <c r="E19" s="26">
        <f>IF($A19&lt;='Summary Sheet'!$U$27,E$7*(1-'Summary Sheet'!$B$17)^Sheet1!$A18,0)</f>
        <v>7165302.8798392983</v>
      </c>
      <c r="F19" s="27">
        <f>IF('Summary Sheet'!$B$33=Working!$R$2,F18*(1+'Summary Sheet'!$B$34),F$6*(1+$B19))</f>
        <v>7.0008275306074286E-2</v>
      </c>
      <c r="G19" s="27">
        <f>IF('Summary Sheet'!$B$33=Working!$R$2,G18*(1+'Summary Sheet'!$B$34),G$6*(1+$B19))</f>
        <v>4.5460733448590702E-2</v>
      </c>
      <c r="H19" s="27">
        <f>IF('Summary Sheet'!$B$33=Working!$R$2,H18*(1+'Summary Sheet'!$B$34),H$6*(1+$B19))</f>
        <v>8.0407736218030157E-2</v>
      </c>
      <c r="I19" s="30">
        <f>IF(A19&lt;='Summary Sheet'!$U$27,F19*C19+D19*G19+E19*H19,0)</f>
        <v>798239.4369909151</v>
      </c>
      <c r="J19" s="30">
        <f>IF(A19&lt;='Summary Sheet'!$U$27,-'Summary Sheet'!$B$15*'Summary Sheet'!$B$18*(1+'Summary Sheet'!$B$19)^A18,0)</f>
        <v>-209802.65658242241</v>
      </c>
      <c r="K19" s="30">
        <f>IF('Summary Sheet'!$U$12=Working!$A$4,IF(A19&lt;='Summary Sheet'!$U$15,(Working!$BN$4*(1-'Summary Sheet'!$B$17)^(Sheet1!A18)*'Summary Sheet'!$U$13/1000)*'Summary Sheet'!$U$16*(1+'Summary Sheet'!$U$14)^-Sheet1!$A19,0),0)</f>
        <v>0</v>
      </c>
      <c r="L19" s="30">
        <f t="shared" si="1"/>
        <v>588436.78040849266</v>
      </c>
      <c r="M19" s="41"/>
      <c r="N19" s="30">
        <f>IF(A19&lt;='Summary Sheet'!$U$30,'Summary Sheet'!$N$6*(1-'Summary Sheet'!$U$29)/(((1-(1+'Summary Sheet'!$U$31)^-('Summary Sheet'!$U$30+'Summary Sheet'!$U$32)))/('Summary Sheet'!$U$31)),IF(A19&lt;='Summary Sheet'!$U$30+'Summary Sheet'!$U$32,$O$1*(1)/(((1-(1+'Summary Sheet'!$U$33)^-'Summary Sheet'!$U$32))/('Summary Sheet'!$U$33)),0))</f>
        <v>1244278.3573409365</v>
      </c>
      <c r="O19" s="30">
        <f>IF(A19&lt;='Summary Sheet'!$U$30,P18*'Summary Sheet'!$U$31,IF(A19&lt;='Summary Sheet'!$U$32+'Summary Sheet'!$U$30,Sheet1!P18*'Summary Sheet'!$U$33,0))</f>
        <v>494189.04829742044</v>
      </c>
      <c r="P19" s="30">
        <f>IF(A19&lt;='Summary Sheet'!$U$30+'Summary Sheet'!$U$32,P18-N19+O19,0)</f>
        <v>11697997.549833573</v>
      </c>
      <c r="Q19" s="30">
        <f>IF('Summary Sheet'!$U$28="Y",SUM(I19:K19,-N19),Sheet1!L19)</f>
        <v>588436.78040849266</v>
      </c>
      <c r="R19" s="41"/>
      <c r="S19" s="30">
        <f t="shared" si="2"/>
        <v>-3588941.8791073831</v>
      </c>
      <c r="T19" s="30">
        <f>Q19/(1+'Summary Sheet'!$U$26)^(Sheet1!A19)</f>
        <v>332038.18771755282</v>
      </c>
      <c r="U19" s="30">
        <f t="shared" si="0"/>
        <v>-6763914.4188777981</v>
      </c>
    </row>
    <row r="20" spans="1:21" x14ac:dyDescent="0.25">
      <c r="A20" s="26">
        <v>14</v>
      </c>
      <c r="B20" s="124">
        <v>0.14999999999999991</v>
      </c>
      <c r="C20" s="26">
        <f>IF(A20&lt;='Summary Sheet'!$U$27,C$7*(1-'Summary Sheet'!$B$17)^Sheet1!$A19,0)</f>
        <v>2492416.7970374399</v>
      </c>
      <c r="D20" s="26">
        <f>IF($A20&lt;='Summary Sheet'!$U$27,D$7*(1-'Summary Sheet'!$B$17)^Sheet1!$A19,0)</f>
        <v>1022715.2095790219</v>
      </c>
      <c r="E20" s="26">
        <f>IF($A20&lt;='Summary Sheet'!$U$27,E$7*(1-'Summary Sheet'!$B$17)^Sheet1!$A19,0)</f>
        <v>7129476.3654401014</v>
      </c>
      <c r="F20" s="27">
        <f>IF('Summary Sheet'!$B$33=Working!$R$2,F19*(1+'Summary Sheet'!$B$34),F$6*(1+$B20))</f>
        <v>6.7091263834987855E-2</v>
      </c>
      <c r="G20" s="27">
        <f>IF('Summary Sheet'!$B$33=Working!$R$2,G19*(1+'Summary Sheet'!$B$34),G$6*(1+$B20))</f>
        <v>4.3566536221566088E-2</v>
      </c>
      <c r="H20" s="27">
        <f>IF('Summary Sheet'!$B$33=Working!$R$2,H19*(1+'Summary Sheet'!$B$34),H$6*(1+$B20))</f>
        <v>7.7057413875612227E-2</v>
      </c>
      <c r="I20" s="30">
        <f>IF(A20&lt;='Summary Sheet'!$U$27,F20*C20+D20*G20+E20*H20,0)</f>
        <v>761154.56314737874</v>
      </c>
      <c r="J20" s="30">
        <f>IF(A20&lt;='Summary Sheet'!$U$27,-'Summary Sheet'!$B$15*'Summary Sheet'!$B$18*(1+'Summary Sheet'!$B$19)^A19,0)</f>
        <v>-215047.72299698298</v>
      </c>
      <c r="K20" s="30">
        <f>IF('Summary Sheet'!$U$12=Working!$A$4,IF(A20&lt;='Summary Sheet'!$U$15,(Working!$BN$4*(1-'Summary Sheet'!$B$17)^(Sheet1!A19)*'Summary Sheet'!$U$13/1000)*'Summary Sheet'!$U$16*(1+'Summary Sheet'!$U$14)^-Sheet1!$A20,0),0)</f>
        <v>0</v>
      </c>
      <c r="L20" s="30">
        <f t="shared" si="1"/>
        <v>546106.84015039576</v>
      </c>
      <c r="M20" s="41"/>
      <c r="N20" s="30">
        <f>IF(A20&lt;='Summary Sheet'!$U$30,'Summary Sheet'!$N$6*(1-'Summary Sheet'!$U$29)/(((1-(1+'Summary Sheet'!$U$31)^-('Summary Sheet'!$U$30+'Summary Sheet'!$U$32)))/('Summary Sheet'!$U$31)),IF(A20&lt;='Summary Sheet'!$U$30+'Summary Sheet'!$U$32,$O$1*(1)/(((1-(1+'Summary Sheet'!$U$33)^-'Summary Sheet'!$U$32))/('Summary Sheet'!$U$33)),0))</f>
        <v>1244278.3573409365</v>
      </c>
      <c r="O20" s="30">
        <f>IF(A20&lt;='Summary Sheet'!$U$30,P19*'Summary Sheet'!$U$31,IF(A20&lt;='Summary Sheet'!$U$32+'Summary Sheet'!$U$30,Sheet1!P19*'Summary Sheet'!$U$33,0))</f>
        <v>464410.50272839284</v>
      </c>
      <c r="P20" s="30">
        <f>IF(A20&lt;='Summary Sheet'!$U$30+'Summary Sheet'!$U$32,P19-N20+O20,0)</f>
        <v>10918129.695221031</v>
      </c>
      <c r="Q20" s="30">
        <f>IF('Summary Sheet'!$U$28="Y",SUM(I20:K20,-N20),Sheet1!L20)</f>
        <v>546106.84015039576</v>
      </c>
      <c r="R20" s="41"/>
      <c r="S20" s="30">
        <f t="shared" si="2"/>
        <v>-3042835.0389569872</v>
      </c>
      <c r="T20" s="30">
        <f>Q20/(1+'Summary Sheet'!$U$26)^(Sheet1!A20)</f>
        <v>294882.87355391693</v>
      </c>
      <c r="U20" s="30">
        <f t="shared" si="0"/>
        <v>-6469031.5453238813</v>
      </c>
    </row>
    <row r="21" spans="1:21" x14ac:dyDescent="0.25">
      <c r="A21" s="26">
        <v>15</v>
      </c>
      <c r="B21" s="124">
        <v>0.19999999999999996</v>
      </c>
      <c r="C21" s="26">
        <f>IF(A21&lt;='Summary Sheet'!$U$27,C$7*(1-'Summary Sheet'!$B$17)^Sheet1!$A20,0)</f>
        <v>2479954.7130522528</v>
      </c>
      <c r="D21" s="26">
        <f>IF($A21&lt;='Summary Sheet'!$U$27,D$7*(1-'Summary Sheet'!$B$17)^Sheet1!$A20,0)</f>
        <v>1017601.6335311268</v>
      </c>
      <c r="E21" s="26">
        <f>IF($A21&lt;='Summary Sheet'!$U$27,E$7*(1-'Summary Sheet'!$B$17)^Sheet1!$A20,0)</f>
        <v>7093828.9836129015</v>
      </c>
      <c r="F21" s="27">
        <f>IF('Summary Sheet'!$B$33=Working!$R$2,F20*(1+'Summary Sheet'!$B$34),F$6*(1+$B21))</f>
        <v>7.0008275306074286E-2</v>
      </c>
      <c r="G21" s="27">
        <f>IF('Summary Sheet'!$B$33=Working!$R$2,G20*(1+'Summary Sheet'!$B$34),G$6*(1+$B21))</f>
        <v>4.5460733448590702E-2</v>
      </c>
      <c r="H21" s="27">
        <f>IF('Summary Sheet'!$B$33=Working!$R$2,H20*(1+'Summary Sheet'!$B$34),H$6*(1+$B21))</f>
        <v>8.0407736218030157E-2</v>
      </c>
      <c r="I21" s="30">
        <f>IF(A21&lt;='Summary Sheet'!$U$27,F21*C21+D21*G21+E21*H21,0)</f>
        <v>790276.99860693072</v>
      </c>
      <c r="J21" s="30">
        <f>IF(A21&lt;='Summary Sheet'!$U$27,-'Summary Sheet'!$B$15*'Summary Sheet'!$B$18*(1+'Summary Sheet'!$B$19)^A20,0)</f>
        <v>-220423.9160719075</v>
      </c>
      <c r="K21" s="30">
        <f>IF('Summary Sheet'!$U$12=Working!$A$4,IF(A21&lt;='Summary Sheet'!$U$15,(Working!$BN$4*(1-'Summary Sheet'!$B$17)^(Sheet1!A20)*'Summary Sheet'!$U$13/1000)*'Summary Sheet'!$U$16*(1+'Summary Sheet'!$U$14)^-Sheet1!$A21,0),0)</f>
        <v>0</v>
      </c>
      <c r="L21" s="30">
        <f t="shared" si="1"/>
        <v>569853.08253502322</v>
      </c>
      <c r="M21" s="41"/>
      <c r="N21" s="30">
        <f>IF(A21&lt;='Summary Sheet'!$U$30,'Summary Sheet'!$N$6*(1-'Summary Sheet'!$U$29)/(((1-(1+'Summary Sheet'!$U$31)^-('Summary Sheet'!$U$30+'Summary Sheet'!$U$32)))/('Summary Sheet'!$U$31)),IF(A21&lt;='Summary Sheet'!$U$30+'Summary Sheet'!$U$32,$O$1*(1)/(((1-(1+'Summary Sheet'!$U$33)^-'Summary Sheet'!$U$32))/('Summary Sheet'!$U$33)),0))</f>
        <v>1244278.3573409365</v>
      </c>
      <c r="O21" s="30">
        <f>IF(A21&lt;='Summary Sheet'!$U$30,P20*'Summary Sheet'!$U$31,IF(A21&lt;='Summary Sheet'!$U$32+'Summary Sheet'!$U$30,Sheet1!P20*'Summary Sheet'!$U$33,0))</f>
        <v>433449.74890027492</v>
      </c>
      <c r="P21" s="30">
        <f>IF(A21&lt;='Summary Sheet'!$U$30+'Summary Sheet'!$U$32,P20-N21+O21,0)</f>
        <v>10107301.086780369</v>
      </c>
      <c r="Q21" s="30">
        <f>IF('Summary Sheet'!$U$28="Y",SUM(I21:K21,-N21),Sheet1!L21)</f>
        <v>569853.08253502322</v>
      </c>
      <c r="R21" s="41"/>
      <c r="S21" s="30">
        <f t="shared" si="2"/>
        <v>-2472981.9564219639</v>
      </c>
      <c r="T21" s="30">
        <f>Q21/(1+'Summary Sheet'!$U$26)^(Sheet1!A21)</f>
        <v>294454.73686250101</v>
      </c>
      <c r="U21" s="30">
        <f t="shared" si="0"/>
        <v>-6174576.8084613802</v>
      </c>
    </row>
    <row r="22" spans="1:21" x14ac:dyDescent="0.25">
      <c r="A22" s="26">
        <v>16</v>
      </c>
      <c r="B22" s="124">
        <v>0.30000000000000004</v>
      </c>
      <c r="C22" s="26">
        <f>IF(A22&lt;='Summary Sheet'!$U$27,C$7*(1-'Summary Sheet'!$B$17)^Sheet1!$A21,0)</f>
        <v>2467554.9394869911</v>
      </c>
      <c r="D22" s="26">
        <f>IF($A22&lt;='Summary Sheet'!$U$27,D$7*(1-'Summary Sheet'!$B$17)^Sheet1!$A21,0)</f>
        <v>1012513.6253634711</v>
      </c>
      <c r="E22" s="26">
        <f>IF($A22&lt;='Summary Sheet'!$U$27,E$7*(1-'Summary Sheet'!$B$17)^Sheet1!$A21,0)</f>
        <v>7058359.8386948369</v>
      </c>
      <c r="F22" s="27">
        <f>IF('Summary Sheet'!$B$33=Working!$R$2,F21*(1+'Summary Sheet'!$B$34),F$6*(1+$B22))</f>
        <v>7.5842298248247147E-2</v>
      </c>
      <c r="G22" s="27">
        <f>IF('Summary Sheet'!$B$33=Working!$R$2,G21*(1+'Summary Sheet'!$B$34),G$6*(1+$B22))</f>
        <v>4.9249127902639925E-2</v>
      </c>
      <c r="H22" s="27">
        <f>IF('Summary Sheet'!$B$33=Working!$R$2,H21*(1+'Summary Sheet'!$B$34),H$6*(1+$B22))</f>
        <v>8.7108380902866003E-2</v>
      </c>
      <c r="I22" s="30">
        <f>IF(A22&lt;='Summary Sheet'!$U$27,F22*C22+D22*G22+E22*H22,0)</f>
        <v>851852.74808172067</v>
      </c>
      <c r="J22" s="30">
        <f>IF(A22&lt;='Summary Sheet'!$U$27,-'Summary Sheet'!$B$15*'Summary Sheet'!$B$18*(1+'Summary Sheet'!$B$19)^A21,0)</f>
        <v>-225934.51397370524</v>
      </c>
      <c r="K22" s="30">
        <f>IF('Summary Sheet'!$U$12=Working!$A$4,IF(A22&lt;='Summary Sheet'!$U$15,(Working!$BN$4*(1-'Summary Sheet'!$B$17)^(Sheet1!A21)*'Summary Sheet'!$U$13/1000)*'Summary Sheet'!$U$16*(1+'Summary Sheet'!$U$14)^-Sheet1!$A22,0),0)</f>
        <v>0</v>
      </c>
      <c r="L22" s="30">
        <f t="shared" si="1"/>
        <v>625918.23410801543</v>
      </c>
      <c r="M22" s="41"/>
      <c r="N22" s="30">
        <f>IF(A22&lt;='Summary Sheet'!$U$30,'Summary Sheet'!$N$6*(1-'Summary Sheet'!$U$29)/(((1-(1+'Summary Sheet'!$U$31)^-('Summary Sheet'!$U$30+'Summary Sheet'!$U$32)))/('Summary Sheet'!$U$31)),IF(A22&lt;='Summary Sheet'!$U$30+'Summary Sheet'!$U$32,$O$1*(1)/(((1-(1+'Summary Sheet'!$U$33)^-'Summary Sheet'!$U$32))/('Summary Sheet'!$U$33)),0))</f>
        <v>1244278.3573409365</v>
      </c>
      <c r="O22" s="30">
        <f>IF(A22&lt;='Summary Sheet'!$U$30,P21*'Summary Sheet'!$U$31,IF(A22&lt;='Summary Sheet'!$U$32+'Summary Sheet'!$U$30,Sheet1!P21*'Summary Sheet'!$U$33,0))</f>
        <v>401259.85314518068</v>
      </c>
      <c r="P22" s="30">
        <f>IF(A22&lt;='Summary Sheet'!$U$30+'Summary Sheet'!$U$32,P21-N22+O22,0)</f>
        <v>9264282.5825846139</v>
      </c>
      <c r="Q22" s="30">
        <f>IF('Summary Sheet'!$U$28="Y",SUM(I22:K22,-N22),Sheet1!L22)</f>
        <v>625918.23410801543</v>
      </c>
      <c r="R22" s="41"/>
      <c r="S22" s="30">
        <f t="shared" si="2"/>
        <v>-1847063.7223139484</v>
      </c>
      <c r="T22" s="30">
        <f>Q22/(1+'Summary Sheet'!$U$26)^(Sheet1!A22)</f>
        <v>309497.36534143373</v>
      </c>
      <c r="U22" s="30">
        <f t="shared" si="0"/>
        <v>-5865079.4431199469</v>
      </c>
    </row>
    <row r="23" spans="1:21" x14ac:dyDescent="0.25">
      <c r="A23" s="26">
        <v>17</v>
      </c>
      <c r="B23" s="124">
        <v>0.5</v>
      </c>
      <c r="C23" s="26">
        <f>IF(A23&lt;='Summary Sheet'!$U$27,C$7*(1-'Summary Sheet'!$B$17)^Sheet1!$A22,0)</f>
        <v>2455217.1647895561</v>
      </c>
      <c r="D23" s="26">
        <f>IF($A23&lt;='Summary Sheet'!$U$27,D$7*(1-'Summary Sheet'!$B$17)^Sheet1!$A22,0)</f>
        <v>1007451.0572366538</v>
      </c>
      <c r="E23" s="26">
        <f>IF($A23&lt;='Summary Sheet'!$U$27,E$7*(1-'Summary Sheet'!$B$17)^Sheet1!$A22,0)</f>
        <v>7023068.0395013625</v>
      </c>
      <c r="F23" s="27">
        <f>IF('Summary Sheet'!$B$33=Working!$R$2,F22*(1+'Summary Sheet'!$B$34),F$6*(1+$B23))</f>
        <v>8.7510344132592857E-2</v>
      </c>
      <c r="G23" s="27">
        <f>IF('Summary Sheet'!$B$33=Working!$R$2,G22*(1+'Summary Sheet'!$B$34),G$6*(1+$B23))</f>
        <v>5.6825916810738376E-2</v>
      </c>
      <c r="H23" s="27">
        <f>IF('Summary Sheet'!$B$33=Working!$R$2,H22*(1+'Summary Sheet'!$B$34),H$6*(1+$B23))</f>
        <v>0.1005096702725377</v>
      </c>
      <c r="I23" s="30">
        <f>IF(A23&lt;='Summary Sheet'!$U$27,F23*C23+D23*G23+E23*H23,0)</f>
        <v>977992.48193228315</v>
      </c>
      <c r="J23" s="30">
        <f>IF(A23&lt;='Summary Sheet'!$U$27,-'Summary Sheet'!$B$15*'Summary Sheet'!$B$18*(1+'Summary Sheet'!$B$19)^A22,0)</f>
        <v>-231582.87682304785</v>
      </c>
      <c r="K23" s="30">
        <f>IF('Summary Sheet'!$U$12=Working!$A$4,IF(A23&lt;='Summary Sheet'!$U$15,(Working!$BN$4*(1-'Summary Sheet'!$B$17)^(Sheet1!A22)*'Summary Sheet'!$U$13/1000)*'Summary Sheet'!$U$16*(1+'Summary Sheet'!$U$14)^-Sheet1!$A23,0),0)</f>
        <v>0</v>
      </c>
      <c r="L23" s="30">
        <f t="shared" si="1"/>
        <v>746409.60510923527</v>
      </c>
      <c r="M23" s="41"/>
      <c r="N23" s="30">
        <f>IF(A23&lt;='Summary Sheet'!$U$30,'Summary Sheet'!$N$6*(1-'Summary Sheet'!$U$29)/(((1-(1+'Summary Sheet'!$U$31)^-('Summary Sheet'!$U$30+'Summary Sheet'!$U$32)))/('Summary Sheet'!$U$31)),IF(A23&lt;='Summary Sheet'!$U$30+'Summary Sheet'!$U$32,$O$1*(1)/(((1-(1+'Summary Sheet'!$U$33)^-'Summary Sheet'!$U$32))/('Summary Sheet'!$U$33)),0))</f>
        <v>1244278.3573409365</v>
      </c>
      <c r="O23" s="30">
        <f>IF(A23&lt;='Summary Sheet'!$U$30,P22*'Summary Sheet'!$U$31,IF(A23&lt;='Summary Sheet'!$U$32+'Summary Sheet'!$U$30,Sheet1!P22*'Summary Sheet'!$U$33,0))</f>
        <v>367792.01852860919</v>
      </c>
      <c r="P23" s="30">
        <f>IF(A23&lt;='Summary Sheet'!$U$30+'Summary Sheet'!$U$32,P22-N23+O23,0)</f>
        <v>8387796.2437722869</v>
      </c>
      <c r="Q23" s="30">
        <f>IF('Summary Sheet'!$U$28="Y",SUM(I23:K23,-N23),Sheet1!L23)</f>
        <v>746409.60510923527</v>
      </c>
      <c r="R23" s="41"/>
      <c r="S23" s="30">
        <f t="shared" si="2"/>
        <v>-1100654.1172047132</v>
      </c>
      <c r="T23" s="30">
        <f>Q23/(1+'Summary Sheet'!$U$26)^(Sheet1!A23)</f>
        <v>353183.39900714898</v>
      </c>
      <c r="U23" s="30">
        <f t="shared" si="0"/>
        <v>-5511896.0441127978</v>
      </c>
    </row>
    <row r="24" spans="1:21" x14ac:dyDescent="0.25">
      <c r="A24" s="26">
        <v>18</v>
      </c>
      <c r="B24" s="124">
        <v>0.75</v>
      </c>
      <c r="C24" s="26">
        <f>IF(A24&lt;='Summary Sheet'!$U$27,C$7*(1-'Summary Sheet'!$B$17)^Sheet1!$A23,0)</f>
        <v>2442941.0789656085</v>
      </c>
      <c r="D24" s="26">
        <f>IF($A24&lt;='Summary Sheet'!$U$27,D$7*(1-'Summary Sheet'!$B$17)^Sheet1!$A23,0)</f>
        <v>1002413.8019504705</v>
      </c>
      <c r="E24" s="26">
        <f>IF($A24&lt;='Summary Sheet'!$U$27,E$7*(1-'Summary Sheet'!$B$17)^Sheet1!$A23,0)</f>
        <v>6987952.6993038552</v>
      </c>
      <c r="F24" s="27">
        <f>IF('Summary Sheet'!$B$33=Working!$R$2,F23*(1+'Summary Sheet'!$B$34),F$6*(1+$B24))</f>
        <v>0.102095401488025</v>
      </c>
      <c r="G24" s="27">
        <f>IF('Summary Sheet'!$B$33=Working!$R$2,G23*(1+'Summary Sheet'!$B$34),G$6*(1+$B24))</f>
        <v>6.6296902945861436E-2</v>
      </c>
      <c r="H24" s="27">
        <f>IF('Summary Sheet'!$B$33=Working!$R$2,H23*(1+'Summary Sheet'!$B$34),H$6*(1+$B24))</f>
        <v>0.11726128198462732</v>
      </c>
      <c r="I24" s="30">
        <f>IF(A24&lt;='Summary Sheet'!$U$27,F24*C24+D24*G24+E24*H24,0)</f>
        <v>1135286.2727763921</v>
      </c>
      <c r="J24" s="30">
        <f>IF(A24&lt;='Summary Sheet'!$U$27,-'Summary Sheet'!$B$15*'Summary Sheet'!$B$18*(1+'Summary Sheet'!$B$19)^A23,0)</f>
        <v>-237372.448743624</v>
      </c>
      <c r="K24" s="30">
        <f>IF('Summary Sheet'!$U$12=Working!$A$4,IF(A24&lt;='Summary Sheet'!$U$15,(Working!$BN$4*(1-'Summary Sheet'!$B$17)^(Sheet1!A23)*'Summary Sheet'!$U$13/1000)*'Summary Sheet'!$U$16*(1+'Summary Sheet'!$U$14)^-Sheet1!$A24,0),0)</f>
        <v>0</v>
      </c>
      <c r="L24" s="30">
        <f t="shared" si="1"/>
        <v>897913.82403276803</v>
      </c>
      <c r="M24" s="41"/>
      <c r="N24" s="30">
        <f>IF(A24&lt;='Summary Sheet'!$U$30,'Summary Sheet'!$N$6*(1-'Summary Sheet'!$U$29)/(((1-(1+'Summary Sheet'!$U$31)^-('Summary Sheet'!$U$30+'Summary Sheet'!$U$32)))/('Summary Sheet'!$U$31)),IF(A24&lt;='Summary Sheet'!$U$30+'Summary Sheet'!$U$32,$O$1*(1)/(((1-(1+'Summary Sheet'!$U$33)^-'Summary Sheet'!$U$32))/('Summary Sheet'!$U$33)),0))</f>
        <v>1244278.3573409365</v>
      </c>
      <c r="O24" s="30">
        <f>IF(A24&lt;='Summary Sheet'!$U$30,P23*'Summary Sheet'!$U$31,IF(A24&lt;='Summary Sheet'!$U$32+'Summary Sheet'!$U$30,Sheet1!P23*'Summary Sheet'!$U$33,0))</f>
        <v>332995.51087775978</v>
      </c>
      <c r="P24" s="30">
        <f>IF(A24&lt;='Summary Sheet'!$U$30+'Summary Sheet'!$U$32,P23-N24+O24,0)</f>
        <v>7476513.3973091105</v>
      </c>
      <c r="Q24" s="30">
        <f>IF('Summary Sheet'!$U$28="Y",SUM(I24:K24,-N24),Sheet1!L24)</f>
        <v>897913.82403276803</v>
      </c>
      <c r="R24" s="41"/>
      <c r="S24" s="30">
        <f t="shared" si="2"/>
        <v>-202740.29317194514</v>
      </c>
      <c r="T24" s="30">
        <f>Q24/(1+'Summary Sheet'!$U$26)^(Sheet1!A24)</f>
        <v>406575.71071490995</v>
      </c>
      <c r="U24" s="30">
        <f t="shared" si="0"/>
        <v>-5105320.3333978876</v>
      </c>
    </row>
    <row r="25" spans="1:21" x14ac:dyDescent="0.25">
      <c r="A25" s="26">
        <v>19</v>
      </c>
      <c r="B25" s="124">
        <v>1.0499999999999998</v>
      </c>
      <c r="C25" s="26">
        <f>IF(A25&lt;='Summary Sheet'!$U$27,C$7*(1-'Summary Sheet'!$B$17)^Sheet1!$A24,0)</f>
        <v>2430726.3735707803</v>
      </c>
      <c r="D25" s="26">
        <f>IF($A25&lt;='Summary Sheet'!$U$27,D$7*(1-'Summary Sheet'!$B$17)^Sheet1!$A24,0)</f>
        <v>997401.73294071818</v>
      </c>
      <c r="E25" s="26">
        <f>IF($A25&lt;='Summary Sheet'!$U$27,E$7*(1-'Summary Sheet'!$B$17)^Sheet1!$A24,0)</f>
        <v>6953012.9358073361</v>
      </c>
      <c r="F25" s="27">
        <f>IF('Summary Sheet'!$B$33=Working!$R$2,F24*(1+'Summary Sheet'!$B$34),F$6*(1+$B25))</f>
        <v>0.11959747031454356</v>
      </c>
      <c r="G25" s="27">
        <f>IF('Summary Sheet'!$B$33=Working!$R$2,G24*(1+'Summary Sheet'!$B$34),G$6*(1+$B25))</f>
        <v>7.766208630800911E-2</v>
      </c>
      <c r="H25" s="27">
        <f>IF('Summary Sheet'!$B$33=Working!$R$2,H24*(1+'Summary Sheet'!$B$34),H$6*(1+$B25))</f>
        <v>0.13736321603913484</v>
      </c>
      <c r="I25" s="30">
        <f>IF(A25&lt;='Summary Sheet'!$U$27,F25*C25+D25*G25+E25*H25,0)</f>
        <v>1323257.2427975116</v>
      </c>
      <c r="J25" s="30">
        <f>IF(A25&lt;='Summary Sheet'!$U$27,-'Summary Sheet'!$B$15*'Summary Sheet'!$B$18*(1+'Summary Sheet'!$B$19)^A24,0)</f>
        <v>-243306.75996221462</v>
      </c>
      <c r="K25" s="30">
        <f>IF('Summary Sheet'!$U$12=Working!$A$4,IF(A25&lt;='Summary Sheet'!$U$15,(Working!$BN$4*(1-'Summary Sheet'!$B$17)^(Sheet1!A24)*'Summary Sheet'!$U$13/1000)*'Summary Sheet'!$U$16*(1+'Summary Sheet'!$U$14)^-Sheet1!$A25,0),0)</f>
        <v>0</v>
      </c>
      <c r="L25" s="30">
        <f t="shared" si="1"/>
        <v>1079950.482835297</v>
      </c>
      <c r="M25" s="41"/>
      <c r="N25" s="30">
        <f>IF(A25&lt;='Summary Sheet'!$U$30,'Summary Sheet'!$N$6*(1-'Summary Sheet'!$U$29)/(((1-(1+'Summary Sheet'!$U$31)^-('Summary Sheet'!$U$30+'Summary Sheet'!$U$32)))/('Summary Sheet'!$U$31)),IF(A25&lt;='Summary Sheet'!$U$30+'Summary Sheet'!$U$32,$O$1*(1)/(((1-(1+'Summary Sheet'!$U$33)^-'Summary Sheet'!$U$32))/('Summary Sheet'!$U$33)),0))</f>
        <v>1244278.3573409365</v>
      </c>
      <c r="O25" s="30">
        <f>IF(A25&lt;='Summary Sheet'!$U$30,P24*'Summary Sheet'!$U$31,IF(A25&lt;='Summary Sheet'!$U$32+'Summary Sheet'!$U$30,Sheet1!P24*'Summary Sheet'!$U$33,0))</f>
        <v>296817.58187317167</v>
      </c>
      <c r="P25" s="30">
        <f>IF(A25&lt;='Summary Sheet'!$U$30+'Summary Sheet'!$U$32,P24-N25+O25,0)</f>
        <v>6529052.6218413459</v>
      </c>
      <c r="Q25" s="30">
        <f>IF('Summary Sheet'!$U$28="Y",SUM(I25:K25,-N25),Sheet1!L25)</f>
        <v>1079950.482835297</v>
      </c>
      <c r="R25" s="41"/>
      <c r="S25" s="30">
        <f t="shared" si="2"/>
        <v>877210.18966335186</v>
      </c>
      <c r="T25" s="30">
        <f>Q25/(1+'Summary Sheet'!$U$26)^(Sheet1!A25)</f>
        <v>467944.47556400119</v>
      </c>
      <c r="U25" s="30">
        <f t="shared" si="0"/>
        <v>-4637375.8578338865</v>
      </c>
    </row>
    <row r="26" spans="1:21" x14ac:dyDescent="0.25">
      <c r="A26" s="26">
        <v>20</v>
      </c>
      <c r="B26" s="124">
        <v>1.25</v>
      </c>
      <c r="C26" s="26">
        <f>IF(A26&lt;='Summary Sheet'!$U$27,C$7*(1-'Summary Sheet'!$B$17)^Sheet1!$A25,0)</f>
        <v>2418572.7417029263</v>
      </c>
      <c r="D26" s="26">
        <f>IF($A26&lt;='Summary Sheet'!$U$27,D$7*(1-'Summary Sheet'!$B$17)^Sheet1!$A25,0)</f>
        <v>992414.72427601449</v>
      </c>
      <c r="E26" s="26">
        <f>IF($A26&lt;='Summary Sheet'!$U$27,E$7*(1-'Summary Sheet'!$B$17)^Sheet1!$A25,0)</f>
        <v>6918247.8711282993</v>
      </c>
      <c r="F26" s="27">
        <f>IF('Summary Sheet'!$B$33=Working!$R$2,F25*(1+'Summary Sheet'!$B$34),F$6*(1+$B26))</f>
        <v>0.13126551619888929</v>
      </c>
      <c r="G26" s="27">
        <f>IF('Summary Sheet'!$B$33=Working!$R$2,G25*(1+'Summary Sheet'!$B$34),G$6*(1+$B26))</f>
        <v>8.5238875216107568E-2</v>
      </c>
      <c r="H26" s="27">
        <f>IF('Summary Sheet'!$B$33=Working!$R$2,H25*(1+'Summary Sheet'!$B$34),H$6*(1+$B26))</f>
        <v>0.15076450540880654</v>
      </c>
      <c r="I26" s="30">
        <f>IF(A26&lt;='Summary Sheet'!$U$27,F26*C26+D26*G26+E26*H26,0)</f>
        <v>1445093.7328355755</v>
      </c>
      <c r="J26" s="30">
        <f>IF(A26&lt;='Summary Sheet'!$U$27,-'Summary Sheet'!$B$15*'Summary Sheet'!$B$18*(1+'Summary Sheet'!$B$19)^A25,0)</f>
        <v>-249389.42896126999</v>
      </c>
      <c r="K26" s="30">
        <f>IF('Summary Sheet'!$U$12=Working!$A$4,IF(A26&lt;='Summary Sheet'!$U$15,(Working!$BN$4*(1-'Summary Sheet'!$B$17)^(Sheet1!A25)*'Summary Sheet'!$U$13/1000)*'Summary Sheet'!$U$16*(1+'Summary Sheet'!$U$14)^-Sheet1!$A26,0),0)</f>
        <v>0</v>
      </c>
      <c r="L26" s="30">
        <f t="shared" si="1"/>
        <v>1195704.3038743054</v>
      </c>
      <c r="M26" s="41"/>
      <c r="N26" s="30">
        <f>IF(A26&lt;='Summary Sheet'!$U$30,'Summary Sheet'!$N$6*(1-'Summary Sheet'!$U$29)/(((1-(1+'Summary Sheet'!$U$31)^-('Summary Sheet'!$U$30+'Summary Sheet'!$U$32)))/('Summary Sheet'!$U$31)),IF(A26&lt;='Summary Sheet'!$U$30+'Summary Sheet'!$U$32,$O$1*(1)/(((1-(1+'Summary Sheet'!$U$33)^-'Summary Sheet'!$U$32))/('Summary Sheet'!$U$33)),0))</f>
        <v>1244278.3573409365</v>
      </c>
      <c r="O26" s="30">
        <f>IF(A26&lt;='Summary Sheet'!$U$30,P25*'Summary Sheet'!$U$31,IF(A26&lt;='Summary Sheet'!$U$32+'Summary Sheet'!$U$30,Sheet1!P25*'Summary Sheet'!$U$33,0))</f>
        <v>259203.38908710142</v>
      </c>
      <c r="P26" s="30">
        <f>IF(A26&lt;='Summary Sheet'!$U$30+'Summary Sheet'!$U$32,P25-N26+O26,0)</f>
        <v>5543977.6535875108</v>
      </c>
      <c r="Q26" s="30">
        <f>IF('Summary Sheet'!$U$28="Y",SUM(I26:K26,-N26),Sheet1!L26)</f>
        <v>1195704.3038743054</v>
      </c>
      <c r="R26" s="41"/>
      <c r="S26" s="30">
        <f t="shared" si="2"/>
        <v>2072914.4935376574</v>
      </c>
      <c r="T26" s="30">
        <f>Q26/(1+'Summary Sheet'!$U$26)^(Sheet1!A26)</f>
        <v>495790.25189560745</v>
      </c>
      <c r="U26" s="30">
        <f t="shared" si="0"/>
        <v>-4141585.6059382791</v>
      </c>
    </row>
    <row r="27" spans="1:21" x14ac:dyDescent="0.25">
      <c r="A27" s="26">
        <v>21</v>
      </c>
      <c r="B27" s="124">
        <v>1.25</v>
      </c>
      <c r="C27" s="26">
        <f>IF(A27&lt;='Summary Sheet'!$U$27,C$7*(1-'Summary Sheet'!$B$17)^Sheet1!$A26,0)</f>
        <v>2406479.8779944121</v>
      </c>
      <c r="D27" s="26">
        <f>IF($A27&lt;='Summary Sheet'!$U$27,D$7*(1-'Summary Sheet'!$B$17)^Sheet1!$A26,0)</f>
        <v>987452.65065463446</v>
      </c>
      <c r="E27" s="26">
        <f>IF($A27&lt;='Summary Sheet'!$U$27,E$7*(1-'Summary Sheet'!$B$17)^Sheet1!$A26,0)</f>
        <v>6883656.6317726579</v>
      </c>
      <c r="F27" s="27">
        <f>IF('Summary Sheet'!$B$33=Working!$R$2,F26*(1+'Summary Sheet'!$B$34),F$6*(1+$B27))</f>
        <v>0.13126551619888929</v>
      </c>
      <c r="G27" s="27">
        <f>IF('Summary Sheet'!$B$33=Working!$R$2,G26*(1+'Summary Sheet'!$B$34),G$6*(1+$B27))</f>
        <v>8.5238875216107568E-2</v>
      </c>
      <c r="H27" s="27">
        <f>IF('Summary Sheet'!$B$33=Working!$R$2,H26*(1+'Summary Sheet'!$B$34),H$6*(1+$B27))</f>
        <v>0.15076450540880654</v>
      </c>
      <c r="I27" s="30">
        <f>IF(A27&lt;='Summary Sheet'!$U$27,F27*C27+D27*G27+E27*H27,0)</f>
        <v>1437868.2641713975</v>
      </c>
      <c r="J27" s="30">
        <f>IF(A27&lt;='Summary Sheet'!$U$27,-'Summary Sheet'!$B$15*'Summary Sheet'!$B$18*(1+'Summary Sheet'!$B$19)^A26,0)</f>
        <v>-255624.16468530172</v>
      </c>
      <c r="K27" s="30">
        <f>IF('Summary Sheet'!$U$12=Working!$A$4,IF(A27&lt;='Summary Sheet'!$U$15,(Working!$BN$4*(1-'Summary Sheet'!$B$17)^(Sheet1!A26)*'Summary Sheet'!$U$13/1000)*'Summary Sheet'!$U$16*(1+'Summary Sheet'!$U$14)^-Sheet1!$A27,0),0)</f>
        <v>0</v>
      </c>
      <c r="L27" s="30">
        <f t="shared" si="1"/>
        <v>1182244.0994860958</v>
      </c>
      <c r="M27" s="41"/>
      <c r="N27" s="30">
        <f>IF(A27&lt;='Summary Sheet'!$U$30,'Summary Sheet'!$N$6*(1-'Summary Sheet'!$U$29)/(((1-(1+'Summary Sheet'!$U$31)^-('Summary Sheet'!$U$30+'Summary Sheet'!$U$32)))/('Summary Sheet'!$U$31)),IF(A27&lt;='Summary Sheet'!$U$30+'Summary Sheet'!$U$32,$O$1*(1)/(((1-(1+'Summary Sheet'!$U$33)^-'Summary Sheet'!$U$32))/('Summary Sheet'!$U$33)),0))</f>
        <v>1244278.3573409365</v>
      </c>
      <c r="O27" s="30">
        <f>IF(A27&lt;='Summary Sheet'!$U$30,P26*'Summary Sheet'!$U$31,IF(A27&lt;='Summary Sheet'!$U$32+'Summary Sheet'!$U$30,Sheet1!P26*'Summary Sheet'!$U$33,0))</f>
        <v>220095.91284742419</v>
      </c>
      <c r="P27" s="30">
        <f>IF(A27&lt;='Summary Sheet'!$U$30+'Summary Sheet'!$U$32,P26-N27+O27,0)</f>
        <v>4519795.2090939982</v>
      </c>
      <c r="Q27" s="30">
        <f>IF('Summary Sheet'!$U$28="Y",SUM(I27:K27,-N27),Sheet1!L27)</f>
        <v>1182244.0994860958</v>
      </c>
      <c r="R27" s="41"/>
      <c r="S27" s="30">
        <f t="shared" si="2"/>
        <v>3255158.5930237533</v>
      </c>
      <c r="T27" s="30">
        <f>Q27/(1+'Summary Sheet'!$U$26)^(Sheet1!A27)</f>
        <v>469099.5925896088</v>
      </c>
      <c r="U27" s="30">
        <f t="shared" si="0"/>
        <v>-3672486.0133486702</v>
      </c>
    </row>
    <row r="28" spans="1:21" x14ac:dyDescent="0.25">
      <c r="A28" s="26">
        <v>22</v>
      </c>
      <c r="B28" s="124">
        <v>1.25</v>
      </c>
      <c r="C28" s="26">
        <f>IF(A28&lt;='Summary Sheet'!$U$27,C$7*(1-'Summary Sheet'!$B$17)^Sheet1!$A27,0)</f>
        <v>2394447.4786044401</v>
      </c>
      <c r="D28" s="26">
        <f>IF($A28&lt;='Summary Sheet'!$U$27,D$7*(1-'Summary Sheet'!$B$17)^Sheet1!$A27,0)</f>
        <v>982515.38740136137</v>
      </c>
      <c r="E28" s="26">
        <f>IF($A28&lt;='Summary Sheet'!$U$27,E$7*(1-'Summary Sheet'!$B$17)^Sheet1!$A27,0)</f>
        <v>6849238.3486137949</v>
      </c>
      <c r="F28" s="27">
        <f>IF('Summary Sheet'!$B$33=Working!$R$2,F27*(1+'Summary Sheet'!$B$34),F$6*(1+$B28))</f>
        <v>0.13126551619888929</v>
      </c>
      <c r="G28" s="27">
        <f>IF('Summary Sheet'!$B$33=Working!$R$2,G27*(1+'Summary Sheet'!$B$34),G$6*(1+$B28))</f>
        <v>8.5238875216107568E-2</v>
      </c>
      <c r="H28" s="27">
        <f>IF('Summary Sheet'!$B$33=Working!$R$2,H27*(1+'Summary Sheet'!$B$34),H$6*(1+$B28))</f>
        <v>0.15076450540880654</v>
      </c>
      <c r="I28" s="30">
        <f>IF(A28&lt;='Summary Sheet'!$U$27,F28*C28+D28*G28+E28*H28,0)</f>
        <v>1430678.9228505406</v>
      </c>
      <c r="J28" s="30">
        <f>IF(A28&lt;='Summary Sheet'!$U$27,-'Summary Sheet'!$B$15*'Summary Sheet'!$B$18*(1+'Summary Sheet'!$B$19)^A27,0)</f>
        <v>-262014.76880243421</v>
      </c>
      <c r="K28" s="30">
        <f>IF('Summary Sheet'!$U$12=Working!$A$4,IF(A28&lt;='Summary Sheet'!$U$15,(Working!$BN$4*(1-'Summary Sheet'!$B$17)^(Sheet1!A27)*'Summary Sheet'!$U$13/1000)*'Summary Sheet'!$U$16*(1+'Summary Sheet'!$U$14)^-Sheet1!$A28,0),0)</f>
        <v>0</v>
      </c>
      <c r="L28" s="30">
        <f t="shared" si="1"/>
        <v>1168664.1540481064</v>
      </c>
      <c r="M28" s="41"/>
      <c r="N28" s="30">
        <f>IF(A28&lt;='Summary Sheet'!$U$30,'Summary Sheet'!$N$6*(1-'Summary Sheet'!$U$29)/(((1-(1+'Summary Sheet'!$U$31)^-('Summary Sheet'!$U$30+'Summary Sheet'!$U$32)))/('Summary Sheet'!$U$31)),IF(A28&lt;='Summary Sheet'!$U$30+'Summary Sheet'!$U$32,$O$1*(1)/(((1-(1+'Summary Sheet'!$U$33)^-'Summary Sheet'!$U$32))/('Summary Sheet'!$U$33)),0))</f>
        <v>1244278.3573409365</v>
      </c>
      <c r="O28" s="30">
        <f>IF(A28&lt;='Summary Sheet'!$U$30,P27*'Summary Sheet'!$U$31,IF(A28&lt;='Summary Sheet'!$U$32+'Summary Sheet'!$U$30,Sheet1!P27*'Summary Sheet'!$U$33,0))</f>
        <v>179435.86980103172</v>
      </c>
      <c r="P28" s="30">
        <f>IF(A28&lt;='Summary Sheet'!$U$30+'Summary Sheet'!$U$32,P27-N28+O28,0)</f>
        <v>3454952.7215540935</v>
      </c>
      <c r="Q28" s="30">
        <f>IF('Summary Sheet'!$U$28="Y",SUM(I28:K28,-N28),Sheet1!L28)</f>
        <v>1168664.1540481064</v>
      </c>
      <c r="R28" s="41"/>
      <c r="S28" s="30">
        <f t="shared" si="2"/>
        <v>4423822.7470718594</v>
      </c>
      <c r="T28" s="30">
        <f>Q28/(1+'Summary Sheet'!$U$26)^(Sheet1!A28)</f>
        <v>443742.81435440836</v>
      </c>
      <c r="U28" s="30">
        <f t="shared" si="0"/>
        <v>-3228743.1989942617</v>
      </c>
    </row>
    <row r="29" spans="1:21" x14ac:dyDescent="0.25">
      <c r="A29" s="26">
        <v>23</v>
      </c>
      <c r="B29" s="124">
        <v>1.25</v>
      </c>
      <c r="C29" s="26">
        <f>IF(A29&lt;='Summary Sheet'!$U$27,C$7*(1-'Summary Sheet'!$B$17)^Sheet1!$A28,0)</f>
        <v>2382475.2412114176</v>
      </c>
      <c r="D29" s="26">
        <f>IF($A29&lt;='Summary Sheet'!$U$27,D$7*(1-'Summary Sheet'!$B$17)^Sheet1!$A28,0)</f>
        <v>977602.81046435458</v>
      </c>
      <c r="E29" s="26">
        <f>IF($A29&lt;='Summary Sheet'!$U$27,E$7*(1-'Summary Sheet'!$B$17)^Sheet1!$A28,0)</f>
        <v>6814992.1568707265</v>
      </c>
      <c r="F29" s="27">
        <f>IF('Summary Sheet'!$B$33=Working!$R$2,F28*(1+'Summary Sheet'!$B$34),F$6*(1+$B29))</f>
        <v>0.13126551619888929</v>
      </c>
      <c r="G29" s="27">
        <f>IF('Summary Sheet'!$B$33=Working!$R$2,G28*(1+'Summary Sheet'!$B$34),G$6*(1+$B29))</f>
        <v>8.5238875216107568E-2</v>
      </c>
      <c r="H29" s="27">
        <f>IF('Summary Sheet'!$B$33=Working!$R$2,H28*(1+'Summary Sheet'!$B$34),H$6*(1+$B29))</f>
        <v>0.15076450540880654</v>
      </c>
      <c r="I29" s="30">
        <f>IF(A29&lt;='Summary Sheet'!$U$27,F29*C29+D29*G29+E29*H29,0)</f>
        <v>1423525.5282362879</v>
      </c>
      <c r="J29" s="30">
        <f>IF(A29&lt;='Summary Sheet'!$U$27,-'Summary Sheet'!$B$15*'Summary Sheet'!$B$18*(1+'Summary Sheet'!$B$19)^A28,0)</f>
        <v>-268565.13802249508</v>
      </c>
      <c r="K29" s="30">
        <f>IF('Summary Sheet'!$U$12=Working!$A$4,IF(A29&lt;='Summary Sheet'!$U$15,(Working!$BN$4*(1-'Summary Sheet'!$B$17)^(Sheet1!A28)*'Summary Sheet'!$U$13/1000)*'Summary Sheet'!$U$16*(1+'Summary Sheet'!$U$14)^-Sheet1!$A29,0),0)</f>
        <v>0</v>
      </c>
      <c r="L29" s="30">
        <f t="shared" si="1"/>
        <v>1154960.3902137927</v>
      </c>
      <c r="M29" s="41"/>
      <c r="N29" s="30">
        <f>IF(A29&lt;='Summary Sheet'!$U$30,'Summary Sheet'!$N$6*(1-'Summary Sheet'!$U$29)/(((1-(1+'Summary Sheet'!$U$31)^-('Summary Sheet'!$U$30+'Summary Sheet'!$U$32)))/('Summary Sheet'!$U$31)),IF(A29&lt;='Summary Sheet'!$U$30+'Summary Sheet'!$U$32,$O$1*(1)/(((1-(1+'Summary Sheet'!$U$33)^-'Summary Sheet'!$U$32))/('Summary Sheet'!$U$33)),0))</f>
        <v>1244278.3573409365</v>
      </c>
      <c r="O29" s="30">
        <f>IF(A29&lt;='Summary Sheet'!$U$30,P28*'Summary Sheet'!$U$31,IF(A29&lt;='Summary Sheet'!$U$32+'Summary Sheet'!$U$30,Sheet1!P28*'Summary Sheet'!$U$33,0))</f>
        <v>137161.62304569752</v>
      </c>
      <c r="P29" s="30">
        <f>IF(A29&lt;='Summary Sheet'!$U$30+'Summary Sheet'!$U$32,P28-N29+O29,0)</f>
        <v>2347835.9872588543</v>
      </c>
      <c r="Q29" s="30">
        <f>IF('Summary Sheet'!$U$28="Y",SUM(I29:K29,-N29),Sheet1!L29)</f>
        <v>1154960.3902137927</v>
      </c>
      <c r="R29" s="41"/>
      <c r="S29" s="30">
        <f t="shared" si="2"/>
        <v>5578783.1372856516</v>
      </c>
      <c r="T29" s="30">
        <f>Q29/(1+'Summary Sheet'!$U$26)^(Sheet1!A29)</f>
        <v>419655.00774102518</v>
      </c>
      <c r="U29" s="30">
        <f t="shared" si="0"/>
        <v>-2809088.1912532365</v>
      </c>
    </row>
    <row r="30" spans="1:21" x14ac:dyDescent="0.25">
      <c r="A30" s="26">
        <v>24</v>
      </c>
      <c r="B30" s="124">
        <v>1.25</v>
      </c>
      <c r="C30" s="26">
        <f>IF(A30&lt;='Summary Sheet'!$U$27,C$7*(1-'Summary Sheet'!$B$17)^Sheet1!$A29,0)</f>
        <v>2370562.8650053605</v>
      </c>
      <c r="D30" s="26">
        <f>IF($A30&lt;='Summary Sheet'!$U$27,D$7*(1-'Summary Sheet'!$B$17)^Sheet1!$A29,0)</f>
        <v>972714.79641203268</v>
      </c>
      <c r="E30" s="26">
        <f>IF($A30&lt;='Summary Sheet'!$U$27,E$7*(1-'Summary Sheet'!$B$17)^Sheet1!$A29,0)</f>
        <v>6780917.1960863722</v>
      </c>
      <c r="F30" s="27">
        <f>IF('Summary Sheet'!$B$33=Working!$R$2,F29*(1+'Summary Sheet'!$B$34),F$6*(1+$B30))</f>
        <v>0.13126551619888929</v>
      </c>
      <c r="G30" s="27">
        <f>IF('Summary Sheet'!$B$33=Working!$R$2,G29*(1+'Summary Sheet'!$B$34),G$6*(1+$B30))</f>
        <v>8.5238875216107568E-2</v>
      </c>
      <c r="H30" s="27">
        <f>IF('Summary Sheet'!$B$33=Working!$R$2,H29*(1+'Summary Sheet'!$B$34),H$6*(1+$B30))</f>
        <v>0.15076450540880654</v>
      </c>
      <c r="I30" s="30">
        <f>IF(A30&lt;='Summary Sheet'!$U$27,F30*C30+D30*G30+E30*H30,0)</f>
        <v>1416407.9005951064</v>
      </c>
      <c r="J30" s="30">
        <f>IF(A30&lt;='Summary Sheet'!$U$27,-'Summary Sheet'!$B$15*'Summary Sheet'!$B$18*(1+'Summary Sheet'!$B$19)^A29,0)</f>
        <v>-275279.26647305745</v>
      </c>
      <c r="K30" s="30">
        <f>IF('Summary Sheet'!$U$12=Working!$A$4,IF(A30&lt;='Summary Sheet'!$U$15,(Working!$BN$4*(1-'Summary Sheet'!$B$17)^(Sheet1!A29)*'Summary Sheet'!$U$13/1000)*'Summary Sheet'!$U$16*(1+'Summary Sheet'!$U$14)^-Sheet1!$A30,0),0)</f>
        <v>0</v>
      </c>
      <c r="L30" s="30">
        <f t="shared" si="1"/>
        <v>1141128.634122049</v>
      </c>
      <c r="M30" s="41"/>
      <c r="N30" s="30">
        <f>IF(A30&lt;='Summary Sheet'!$U$30,'Summary Sheet'!$N$6*(1-'Summary Sheet'!$U$29)/(((1-(1+'Summary Sheet'!$U$31)^-('Summary Sheet'!$U$30+'Summary Sheet'!$U$32)))/('Summary Sheet'!$U$31)),IF(A30&lt;='Summary Sheet'!$U$30+'Summary Sheet'!$U$32,$O$1*(1)/(((1-(1+'Summary Sheet'!$U$33)^-'Summary Sheet'!$U$32))/('Summary Sheet'!$U$33)),0))</f>
        <v>1244278.3573409365</v>
      </c>
      <c r="O30" s="30">
        <f>IF(A30&lt;='Summary Sheet'!$U$30,P29*'Summary Sheet'!$U$31,IF(A30&lt;='Summary Sheet'!$U$32+'Summary Sheet'!$U$30,Sheet1!P29*'Summary Sheet'!$U$33,0))</f>
        <v>93209.08869417652</v>
      </c>
      <c r="P30" s="30">
        <f>IF(A30&lt;='Summary Sheet'!$U$30+'Summary Sheet'!$U$32,P29-N30+O30,0)</f>
        <v>1196766.7186120944</v>
      </c>
      <c r="Q30" s="30">
        <f>IF('Summary Sheet'!$U$28="Y",SUM(I30:K30,-N30),Sheet1!L30)</f>
        <v>1141128.634122049</v>
      </c>
      <c r="R30" s="41"/>
      <c r="S30" s="30">
        <f t="shared" si="2"/>
        <v>6719911.7714077011</v>
      </c>
      <c r="T30" s="30">
        <f>Q30/(1+'Summary Sheet'!$U$26)^(Sheet1!A30)</f>
        <v>396774.38982699858</v>
      </c>
      <c r="U30" s="30">
        <f t="shared" si="0"/>
        <v>-2412313.8014262379</v>
      </c>
    </row>
    <row r="31" spans="1:21" x14ac:dyDescent="0.25">
      <c r="A31" s="26">
        <v>25</v>
      </c>
      <c r="B31" s="124">
        <v>1.25</v>
      </c>
      <c r="C31" s="26">
        <f>IF(A31&lt;='Summary Sheet'!$U$27,C$7*(1-'Summary Sheet'!$B$17)^Sheet1!$A30,0)</f>
        <v>2358710.0506803337</v>
      </c>
      <c r="D31" s="26">
        <f>IF($A31&lt;='Summary Sheet'!$U$27,D$7*(1-'Summary Sheet'!$B$17)^Sheet1!$A30,0)</f>
        <v>967851.22242997261</v>
      </c>
      <c r="E31" s="26">
        <f>IF($A31&lt;='Summary Sheet'!$U$27,E$7*(1-'Summary Sheet'!$B$17)^Sheet1!$A30,0)</f>
        <v>6747012.6101059401</v>
      </c>
      <c r="F31" s="27">
        <f>IF('Summary Sheet'!$B$33=Working!$R$2,F30*(1+'Summary Sheet'!$B$34),F$6*(1+$B31))</f>
        <v>0.13126551619888929</v>
      </c>
      <c r="G31" s="27">
        <f>IF('Summary Sheet'!$B$33=Working!$R$2,G30*(1+'Summary Sheet'!$B$34),G$6*(1+$B31))</f>
        <v>8.5238875216107568E-2</v>
      </c>
      <c r="H31" s="27">
        <f>IF('Summary Sheet'!$B$33=Working!$R$2,H30*(1+'Summary Sheet'!$B$34),H$6*(1+$B31))</f>
        <v>0.15076450540880654</v>
      </c>
      <c r="I31" s="30">
        <f>IF(A31&lt;='Summary Sheet'!$U$27,F31*C31+D31*G31+E31*H31,0)</f>
        <v>1409325.8610921309</v>
      </c>
      <c r="J31" s="30">
        <f>IF(A31&lt;='Summary Sheet'!$U$27,-'Summary Sheet'!$B$15*'Summary Sheet'!$B$18*(1+'Summary Sheet'!$B$19)^A30,0)</f>
        <v>-282161.24813488388</v>
      </c>
      <c r="K31" s="30">
        <f>IF('Summary Sheet'!$U$12=Working!$A$4,IF(A31&lt;='Summary Sheet'!$U$15,(Working!$BN$4*(1-'Summary Sheet'!$B$17)^(Sheet1!A30)*'Summary Sheet'!$U$13/1000)*'Summary Sheet'!$U$16*(1+'Summary Sheet'!$U$14)^-Sheet1!$A31,0),0)</f>
        <v>0</v>
      </c>
      <c r="L31" s="30">
        <f t="shared" si="1"/>
        <v>1127164.6129572471</v>
      </c>
      <c r="M31" s="41"/>
      <c r="N31" s="30">
        <f>IF(A31&lt;='Summary Sheet'!$U$30,'Summary Sheet'!$N$6*(1-'Summary Sheet'!$U$29)/(((1-(1+'Summary Sheet'!$U$31)^-('Summary Sheet'!$U$30+'Summary Sheet'!$U$32)))/('Summary Sheet'!$U$31)),IF(A31&lt;='Summary Sheet'!$U$30+'Summary Sheet'!$U$32,$O$1*(1)/(((1-(1+'Summary Sheet'!$U$33)^-'Summary Sheet'!$U$32))/('Summary Sheet'!$U$33)),0))</f>
        <v>1244278.3573409365</v>
      </c>
      <c r="O31" s="30">
        <f>IF(A31&lt;='Summary Sheet'!$U$30,P30*'Summary Sheet'!$U$31,IF(A31&lt;='Summary Sheet'!$U$32+'Summary Sheet'!$U$30,Sheet1!P30*'Summary Sheet'!$U$33,0))</f>
        <v>47511.63872890015</v>
      </c>
      <c r="P31" s="30">
        <f>IF(A31&lt;='Summary Sheet'!$U$30+'Summary Sheet'!$U$32,P30-N31+O31,0)</f>
        <v>5.8011210057884455E-8</v>
      </c>
      <c r="Q31" s="30">
        <f>IF('Summary Sheet'!$U$28="Y",SUM(I31:K31,-N31),Sheet1!L31)</f>
        <v>1127164.6129572471</v>
      </c>
      <c r="R31" s="41"/>
      <c r="S31" s="30">
        <f t="shared" si="2"/>
        <v>7847076.3843649477</v>
      </c>
      <c r="T31" s="30">
        <f>Q31/(1+'Summary Sheet'!$U$26)^(Sheet1!A31)</f>
        <v>375042.1542235142</v>
      </c>
      <c r="U31" s="30">
        <f t="shared" si="0"/>
        <v>-2037271.6472027237</v>
      </c>
    </row>
    <row r="32" spans="1:21" x14ac:dyDescent="0.25">
      <c r="A32" s="26">
        <v>26</v>
      </c>
      <c r="B32" s="26"/>
      <c r="C32" s="26">
        <f>IF(A32&lt;='Summary Sheet'!$U$27,C$7*(1-'Summary Sheet'!$B$17)^Sheet1!$A31,0)</f>
        <v>0</v>
      </c>
      <c r="D32" s="26">
        <f>IF($A32&lt;='Summary Sheet'!$U$27,D$7*(1-'Summary Sheet'!$B$17)^Sheet1!$A31,0)</f>
        <v>0</v>
      </c>
      <c r="E32" s="26">
        <f>IF($A32&lt;='Summary Sheet'!$U$27,E$7*(1-'Summary Sheet'!$B$17)^Sheet1!$A31,0)</f>
        <v>0</v>
      </c>
      <c r="F32" s="27">
        <f>IF('Summary Sheet'!$B$33=Working!$R$2,F31*(1+'Summary Sheet'!$B$34),F$6*(1+$B32))</f>
        <v>5.8340229421728569E-2</v>
      </c>
      <c r="G32" s="27">
        <f>IF('Summary Sheet'!$B$33=Working!$R$2,G31*(1+'Summary Sheet'!$B$34),G$6*(1+$B32))</f>
        <v>3.7883944540492251E-2</v>
      </c>
      <c r="H32" s="27">
        <f>IF('Summary Sheet'!$B$33=Working!$R$2,H31*(1+'Summary Sheet'!$B$34),H$6*(1+$B32))</f>
        <v>6.7006446848358464E-2</v>
      </c>
      <c r="I32" s="30">
        <f>IF(A32&lt;='Summary Sheet'!$U$27,F32*C32+D32*G32+E32*H32,0)</f>
        <v>0</v>
      </c>
      <c r="J32" s="30">
        <f>IF(A32&lt;='Summary Sheet'!$U$27,-'Summary Sheet'!$B$15*'Summary Sheet'!$B$18*(1+'Summary Sheet'!$B$19)^A31,0)</f>
        <v>0</v>
      </c>
      <c r="K32" s="30">
        <f>IF('Summary Sheet'!$U$12=Working!$A$4,IF(A32&lt;='Summary Sheet'!$U$15,(Working!$BN$4*(1-'Summary Sheet'!$B$17)^(Sheet1!A31)*'Summary Sheet'!$U$13/1000)*'Summary Sheet'!$U$16*(1+'Summary Sheet'!$U$14)^-Sheet1!$A32,0),0)</f>
        <v>0</v>
      </c>
      <c r="L32" s="30">
        <f t="shared" si="1"/>
        <v>0</v>
      </c>
      <c r="M32" s="41"/>
      <c r="N32" s="30">
        <f>IF(A32&lt;='Summary Sheet'!$U$30,'Summary Sheet'!$N$6*(1-'Summary Sheet'!$U$29)/(((1-(1+'Summary Sheet'!$U$31)^-('Summary Sheet'!$U$30+'Summary Sheet'!$U$32)))/('Summary Sheet'!$U$31)),IF(A32&lt;='Summary Sheet'!$U$30+'Summary Sheet'!$U$32,$O$1*(1)/(((1-(1+'Summary Sheet'!$U$33)^-'Summary Sheet'!$U$32))/('Summary Sheet'!$U$33)),0))</f>
        <v>0</v>
      </c>
      <c r="O32" s="30">
        <f>IF(A32&lt;='Summary Sheet'!$U$30,P31*'Summary Sheet'!$U$31,IF(A32&lt;='Summary Sheet'!$U$32+'Summary Sheet'!$U$30,Sheet1!P31*'Summary Sheet'!$U$33,0))</f>
        <v>0</v>
      </c>
      <c r="P32" s="30">
        <f>IF(A32&lt;='Summary Sheet'!$U$30+'Summary Sheet'!$U$32,P31-N32+O32,0)</f>
        <v>0</v>
      </c>
      <c r="Q32" s="30">
        <f>IF('Summary Sheet'!$U$28="Y",SUM(I32:K32,-N32),Sheet1!L32)</f>
        <v>0</v>
      </c>
      <c r="R32" s="41"/>
      <c r="S32" s="30">
        <f t="shared" si="2"/>
        <v>7847076.3843649477</v>
      </c>
      <c r="T32" s="30">
        <f>Q32/(1+'Summary Sheet'!$U$26)^(Sheet1!A32)</f>
        <v>0</v>
      </c>
      <c r="U32" s="30">
        <f t="shared" si="0"/>
        <v>-2037271.6472027237</v>
      </c>
    </row>
    <row r="33" spans="1:21" x14ac:dyDescent="0.25">
      <c r="A33" s="26">
        <v>27</v>
      </c>
      <c r="B33" s="26"/>
      <c r="C33" s="26">
        <f>IF(A33&lt;='Summary Sheet'!$U$27,C$7*(1-'Summary Sheet'!$B$17)^Sheet1!$A32,0)</f>
        <v>0</v>
      </c>
      <c r="D33" s="26">
        <f>IF($A33&lt;='Summary Sheet'!$U$27,D$7*(1-'Summary Sheet'!$B$17)^Sheet1!$A32,0)</f>
        <v>0</v>
      </c>
      <c r="E33" s="26">
        <f>IF($A33&lt;='Summary Sheet'!$U$27,E$7*(1-'Summary Sheet'!$B$17)^Sheet1!$A32,0)</f>
        <v>0</v>
      </c>
      <c r="F33" s="27">
        <f>IF('Summary Sheet'!$B$33=Working!$R$2,F32*(1+'Summary Sheet'!$B$34),F$6*(1+$B33))</f>
        <v>5.8340229421728569E-2</v>
      </c>
      <c r="G33" s="27">
        <f>IF('Summary Sheet'!$B$33=Working!$R$2,G32*(1+'Summary Sheet'!$B$34),G$6*(1+$B33))</f>
        <v>3.7883944540492251E-2</v>
      </c>
      <c r="H33" s="27">
        <f>IF('Summary Sheet'!$B$33=Working!$R$2,H32*(1+'Summary Sheet'!$B$34),H$6*(1+$B33))</f>
        <v>6.7006446848358464E-2</v>
      </c>
      <c r="I33" s="30">
        <f>IF(A33&lt;='Summary Sheet'!$U$27,F33*C33+D33*G33+E33*H33,0)</f>
        <v>0</v>
      </c>
      <c r="J33" s="30">
        <f>IF(A33&lt;='Summary Sheet'!$U$27,-'Summary Sheet'!$B$15*'Summary Sheet'!$B$18*(1+'Summary Sheet'!$B$19)^A32,0)</f>
        <v>0</v>
      </c>
      <c r="K33" s="30">
        <f>IF('Summary Sheet'!$U$12=Working!$A$4,IF(A33&lt;='Summary Sheet'!$U$15,(Working!$BN$4*(1-'Summary Sheet'!$B$17)^(Sheet1!A32)*'Summary Sheet'!$U$13/1000)*'Summary Sheet'!$U$16*(1+'Summary Sheet'!$U$14)^-Sheet1!$A33,0),0)</f>
        <v>0</v>
      </c>
      <c r="L33" s="30">
        <f t="shared" si="1"/>
        <v>0</v>
      </c>
      <c r="M33" s="41"/>
      <c r="N33" s="30">
        <f>IF(A33&lt;='Summary Sheet'!$U$30,'Summary Sheet'!$N$6*(1-'Summary Sheet'!$U$29)/(((1-(1+'Summary Sheet'!$U$31)^-('Summary Sheet'!$U$30+'Summary Sheet'!$U$32)))/('Summary Sheet'!$U$31)),IF(A33&lt;='Summary Sheet'!$U$30+'Summary Sheet'!$U$32,$O$1*(1)/(((1-(1+'Summary Sheet'!$U$33)^-'Summary Sheet'!$U$32))/('Summary Sheet'!$U$33)),0))</f>
        <v>0</v>
      </c>
      <c r="O33" s="30">
        <f>IF(A33&lt;='Summary Sheet'!$U$30,P32*'Summary Sheet'!$U$31,IF(A33&lt;='Summary Sheet'!$U$32+'Summary Sheet'!$U$30,Sheet1!P32*'Summary Sheet'!$U$33,0))</f>
        <v>0</v>
      </c>
      <c r="P33" s="30">
        <f>IF(A33&lt;='Summary Sheet'!$U$30+'Summary Sheet'!$U$32,P32-N33+O33,0)</f>
        <v>0</v>
      </c>
      <c r="Q33" s="30">
        <f>IF('Summary Sheet'!$U$28="Y",SUM(I33:K33,-N33),Sheet1!L33)</f>
        <v>0</v>
      </c>
      <c r="R33" s="41"/>
      <c r="S33" s="30">
        <f t="shared" si="2"/>
        <v>7847076.3843649477</v>
      </c>
      <c r="T33" s="30">
        <f>Q33/(1+'Summary Sheet'!$U$26)^(Sheet1!A33)</f>
        <v>0</v>
      </c>
      <c r="U33" s="30">
        <f t="shared" si="0"/>
        <v>-2037271.6472027237</v>
      </c>
    </row>
    <row r="34" spans="1:21" x14ac:dyDescent="0.25">
      <c r="A34" s="26">
        <v>28</v>
      </c>
      <c r="B34" s="26"/>
      <c r="C34" s="26">
        <f>IF(A34&lt;='Summary Sheet'!$U$27,C$7*(1-'Summary Sheet'!$B$17)^Sheet1!$A33,0)</f>
        <v>0</v>
      </c>
      <c r="D34" s="26">
        <f>IF($A34&lt;='Summary Sheet'!$U$27,D$7*(1-'Summary Sheet'!$B$17)^Sheet1!$A33,0)</f>
        <v>0</v>
      </c>
      <c r="E34" s="26">
        <f>IF($A34&lt;='Summary Sheet'!$U$27,E$7*(1-'Summary Sheet'!$B$17)^Sheet1!$A33,0)</f>
        <v>0</v>
      </c>
      <c r="F34" s="27">
        <f>IF('Summary Sheet'!$B$33=Working!$R$2,F33*(1+'Summary Sheet'!$B$34),F$6*(1+$B34))</f>
        <v>5.8340229421728569E-2</v>
      </c>
      <c r="G34" s="27">
        <f>IF('Summary Sheet'!$B$33=Working!$R$2,G33*(1+'Summary Sheet'!$B$34),G$6*(1+$B34))</f>
        <v>3.7883944540492251E-2</v>
      </c>
      <c r="H34" s="27">
        <f>IF('Summary Sheet'!$B$33=Working!$R$2,H33*(1+'Summary Sheet'!$B$34),H$6*(1+$B34))</f>
        <v>6.7006446848358464E-2</v>
      </c>
      <c r="I34" s="30">
        <f>IF(A34&lt;='Summary Sheet'!$U$27,F34*C34+D34*G34+E34*H34,0)</f>
        <v>0</v>
      </c>
      <c r="J34" s="30">
        <f>IF(A34&lt;='Summary Sheet'!$U$27,-'Summary Sheet'!$B$15*'Summary Sheet'!$B$18*(1+'Summary Sheet'!$B$19)^A33,0)</f>
        <v>0</v>
      </c>
      <c r="K34" s="30">
        <f>IF('Summary Sheet'!$U$12=Working!$A$4,IF(A34&lt;='Summary Sheet'!$U$15,(Working!$BN$4*(1-'Summary Sheet'!$B$17)^(Sheet1!A33)*'Summary Sheet'!$U$13/1000)*'Summary Sheet'!$U$16*(1+'Summary Sheet'!$U$14)^-Sheet1!$A34,0),0)</f>
        <v>0</v>
      </c>
      <c r="L34" s="30">
        <f t="shared" si="1"/>
        <v>0</v>
      </c>
      <c r="M34" s="41"/>
      <c r="N34" s="30">
        <f>IF(A34&lt;='Summary Sheet'!$U$30,'Summary Sheet'!$N$6*(1-'Summary Sheet'!$U$29)/(((1-(1+'Summary Sheet'!$U$31)^-('Summary Sheet'!$U$30+'Summary Sheet'!$U$32)))/('Summary Sheet'!$U$31)),IF(A34&lt;='Summary Sheet'!$U$30+'Summary Sheet'!$U$32,$O$1*(1)/(((1-(1+'Summary Sheet'!$U$33)^-'Summary Sheet'!$U$32))/('Summary Sheet'!$U$33)),0))</f>
        <v>0</v>
      </c>
      <c r="O34" s="30">
        <f>IF(A34&lt;='Summary Sheet'!$U$30,P33*'Summary Sheet'!$U$31,IF(A34&lt;='Summary Sheet'!$U$32+'Summary Sheet'!$U$30,Sheet1!P33*'Summary Sheet'!$U$33,0))</f>
        <v>0</v>
      </c>
      <c r="P34" s="30">
        <f>IF(A34&lt;='Summary Sheet'!$U$30+'Summary Sheet'!$U$32,P33-N34+O34,0)</f>
        <v>0</v>
      </c>
      <c r="Q34" s="30">
        <f>IF('Summary Sheet'!$U$28="Y",SUM(I34:K34,-N34),Sheet1!L34)</f>
        <v>0</v>
      </c>
      <c r="R34" s="41"/>
      <c r="S34" s="30">
        <f t="shared" si="2"/>
        <v>7847076.3843649477</v>
      </c>
      <c r="T34" s="30">
        <f>Q34/(1+'Summary Sheet'!$U$26)^(Sheet1!A34)</f>
        <v>0</v>
      </c>
      <c r="U34" s="30">
        <f t="shared" si="0"/>
        <v>-2037271.6472027237</v>
      </c>
    </row>
    <row r="35" spans="1:21" x14ac:dyDescent="0.25">
      <c r="A35" s="26">
        <v>29</v>
      </c>
      <c r="B35" s="26"/>
      <c r="C35" s="26">
        <f>IF(A35&lt;='Summary Sheet'!$U$27,C$7*(1-'Summary Sheet'!$B$17)^Sheet1!$A34,0)</f>
        <v>0</v>
      </c>
      <c r="D35" s="26">
        <f>IF($A35&lt;='Summary Sheet'!$U$27,D$7*(1-'Summary Sheet'!$B$17)^Sheet1!$A34,0)</f>
        <v>0</v>
      </c>
      <c r="E35" s="26">
        <f>IF($A35&lt;='Summary Sheet'!$U$27,E$7*(1-'Summary Sheet'!$B$17)^Sheet1!$A34,0)</f>
        <v>0</v>
      </c>
      <c r="F35" s="27">
        <f>IF('Summary Sheet'!$B$33=Working!$R$2,F34*(1+'Summary Sheet'!$B$34),F$6*(1+$B35))</f>
        <v>5.8340229421728569E-2</v>
      </c>
      <c r="G35" s="27">
        <f>IF('Summary Sheet'!$B$33=Working!$R$2,G34*(1+'Summary Sheet'!$B$34),G$6*(1+$B35))</f>
        <v>3.7883944540492251E-2</v>
      </c>
      <c r="H35" s="27">
        <f>IF('Summary Sheet'!$B$33=Working!$R$2,H34*(1+'Summary Sheet'!$B$34),H$6*(1+$B35))</f>
        <v>6.7006446848358464E-2</v>
      </c>
      <c r="I35" s="30">
        <f>IF(A35&lt;='Summary Sheet'!$U$27,F35*C35+D35*G35+E35*H35,0)</f>
        <v>0</v>
      </c>
      <c r="J35" s="30">
        <f>IF(A35&lt;='Summary Sheet'!$U$27,-'Summary Sheet'!$B$15*'Summary Sheet'!$B$18*(1+'Summary Sheet'!$B$19)^A34,0)</f>
        <v>0</v>
      </c>
      <c r="K35" s="30">
        <f>IF('Summary Sheet'!$U$12=Working!$A$4,IF(A35&lt;='Summary Sheet'!$U$15,(Working!$BN$4*(1-'Summary Sheet'!$B$17)^(Sheet1!A34)*'Summary Sheet'!$U$13/1000)*'Summary Sheet'!$U$16*(1+'Summary Sheet'!$U$14)^-Sheet1!$A35,0),0)</f>
        <v>0</v>
      </c>
      <c r="L35" s="30">
        <f t="shared" si="1"/>
        <v>0</v>
      </c>
      <c r="M35" s="41"/>
      <c r="N35" s="30">
        <f>IF(A35&lt;='Summary Sheet'!$U$30,'Summary Sheet'!$N$6*(1-'Summary Sheet'!$U$29)/(((1-(1+'Summary Sheet'!$U$31)^-('Summary Sheet'!$U$30+'Summary Sheet'!$U$32)))/('Summary Sheet'!$U$31)),IF(A35&lt;='Summary Sheet'!$U$30+'Summary Sheet'!$U$32,$O$1*(1)/(((1-(1+'Summary Sheet'!$U$33)^-'Summary Sheet'!$U$32))/('Summary Sheet'!$U$33)),0))</f>
        <v>0</v>
      </c>
      <c r="O35" s="30">
        <f>IF(A35&lt;='Summary Sheet'!$U$30,P34*'Summary Sheet'!$U$31,IF(A35&lt;='Summary Sheet'!$U$32+'Summary Sheet'!$U$30,Sheet1!P34*'Summary Sheet'!$U$33,0))</f>
        <v>0</v>
      </c>
      <c r="P35" s="30">
        <f>IF(A35&lt;='Summary Sheet'!$U$30+'Summary Sheet'!$U$32,P34-N35+O35,0)</f>
        <v>0</v>
      </c>
      <c r="Q35" s="30">
        <f>IF('Summary Sheet'!$U$28="Y",SUM(I35:K35,-N35),Sheet1!L35)</f>
        <v>0</v>
      </c>
      <c r="R35" s="41"/>
      <c r="S35" s="30">
        <f t="shared" si="2"/>
        <v>7847076.3843649477</v>
      </c>
      <c r="T35" s="30">
        <f>Q35/(1+'Summary Sheet'!$U$26)^(Sheet1!A35)</f>
        <v>0</v>
      </c>
      <c r="U35" s="30">
        <f t="shared" si="0"/>
        <v>-2037271.6472027237</v>
      </c>
    </row>
    <row r="36" spans="1:21" x14ac:dyDescent="0.25">
      <c r="A36" s="26">
        <v>30</v>
      </c>
      <c r="B36" s="26"/>
      <c r="C36" s="26">
        <f>IF(A36&lt;='Summary Sheet'!$U$27,C$7*(1-'Summary Sheet'!$B$17)^Sheet1!$A35,0)</f>
        <v>0</v>
      </c>
      <c r="D36" s="26">
        <f>IF($A36&lt;='Summary Sheet'!$U$27,D$7*(1-'Summary Sheet'!$B$17)^Sheet1!$A35,0)</f>
        <v>0</v>
      </c>
      <c r="E36" s="26">
        <f>IF($A36&lt;='Summary Sheet'!$U$27,E$7*(1-'Summary Sheet'!$B$17)^Sheet1!$A35,0)</f>
        <v>0</v>
      </c>
      <c r="F36" s="27">
        <f>IF('Summary Sheet'!$B$33=Working!$R$2,F35*(1+'Summary Sheet'!$B$34),F$6*(1+$B36))</f>
        <v>5.8340229421728569E-2</v>
      </c>
      <c r="G36" s="27">
        <f>IF('Summary Sheet'!$B$33=Working!$R$2,G35*(1+'Summary Sheet'!$B$34),G$6*(1+$B36))</f>
        <v>3.7883944540492251E-2</v>
      </c>
      <c r="H36" s="27">
        <f>IF('Summary Sheet'!$B$33=Working!$R$2,H35*(1+'Summary Sheet'!$B$34),H$6*(1+$B36))</f>
        <v>6.7006446848358464E-2</v>
      </c>
      <c r="I36" s="30">
        <f>IF(A36&lt;='Summary Sheet'!$U$27,F36*C36+D36*G36+E36*H36,0)</f>
        <v>0</v>
      </c>
      <c r="J36" s="30">
        <f>IF(A36&lt;='Summary Sheet'!$U$27,-'Summary Sheet'!$B$15*'Summary Sheet'!$B$18*(1+'Summary Sheet'!$B$19)^A35,0)</f>
        <v>0</v>
      </c>
      <c r="K36" s="30">
        <f>IF('Summary Sheet'!$U$12=Working!$A$4,IF(A36&lt;='Summary Sheet'!$U$15,(Working!$BN$4*(1-'Summary Sheet'!$B$17)^(Sheet1!A35)*'Summary Sheet'!$U$13/1000)*'Summary Sheet'!$U$16*(1+'Summary Sheet'!$U$14)^-Sheet1!$A36,0),0)</f>
        <v>0</v>
      </c>
      <c r="L36" s="30">
        <f t="shared" si="1"/>
        <v>0</v>
      </c>
      <c r="M36" s="41"/>
      <c r="N36" s="30">
        <f>IF(A36&lt;='Summary Sheet'!$U$30,'Summary Sheet'!$N$6*(1-'Summary Sheet'!$U$29)/(((1-(1+'Summary Sheet'!$U$31)^-('Summary Sheet'!$U$30+'Summary Sheet'!$U$32)))/('Summary Sheet'!$U$31)),IF(A36&lt;='Summary Sheet'!$U$30+'Summary Sheet'!$U$32,$O$1*(1)/(((1-(1+'Summary Sheet'!$U$33)^-'Summary Sheet'!$U$32))/('Summary Sheet'!$U$33)),0))</f>
        <v>0</v>
      </c>
      <c r="O36" s="30">
        <f>IF(A36&lt;='Summary Sheet'!$U$30,P35*'Summary Sheet'!$U$31,IF(A36&lt;='Summary Sheet'!$U$32+'Summary Sheet'!$U$30,Sheet1!P35*'Summary Sheet'!$U$33,0))</f>
        <v>0</v>
      </c>
      <c r="P36" s="30">
        <f>IF(A36&lt;='Summary Sheet'!$U$30+'Summary Sheet'!$U$32,P35-N36+O36,0)</f>
        <v>0</v>
      </c>
      <c r="Q36" s="30">
        <f>IF('Summary Sheet'!$U$28="Y",SUM(I36:K36,-N36),Sheet1!L36)</f>
        <v>0</v>
      </c>
      <c r="R36" s="41"/>
      <c r="S36" s="30">
        <f t="shared" si="2"/>
        <v>7847076.3843649477</v>
      </c>
      <c r="T36" s="30">
        <f>Q36/(1+'Summary Sheet'!$U$26)^(Sheet1!A36)</f>
        <v>0</v>
      </c>
      <c r="U36" s="30">
        <f t="shared" si="0"/>
        <v>-2037271.6472027237</v>
      </c>
    </row>
  </sheetData>
  <sheetProtection selectLockedCells="1" selectUnlockedCells="1"/>
  <mergeCells count="1">
    <mergeCell ref="N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Model Notes</vt:lpstr>
      <vt:lpstr>Summary Sheet</vt:lpstr>
      <vt:lpstr>Working</vt:lpstr>
      <vt:lpstr>Sheet1</vt:lpstr>
      <vt:lpstr>councils</vt:lpstr>
      <vt:lpstr>location</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Tassigiannakis</dc:creator>
  <cp:lastModifiedBy>Rowan Gaze</cp:lastModifiedBy>
  <dcterms:created xsi:type="dcterms:W3CDTF">2016-12-11T22:17:07Z</dcterms:created>
  <dcterms:modified xsi:type="dcterms:W3CDTF">2017-09-28T19:35:03Z</dcterms:modified>
</cp:coreProperties>
</file>